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F:\ALICITAÇÕES\PROJETOS\2018\Recapemantos sem 7 de Setembro 28-06\"/>
    </mc:Choice>
  </mc:AlternateContent>
  <bookViews>
    <workbookView xWindow="0" yWindow="0" windowWidth="24000" windowHeight="10095" tabRatio="805"/>
  </bookViews>
  <sheets>
    <sheet name="Orçamento final pintura asfalto" sheetId="10" r:id="rId1"/>
    <sheet name="Composições" sheetId="5" r:id="rId2"/>
    <sheet name="Cronograma" sheetId="3" r:id="rId3"/>
    <sheet name="BDI" sheetId="7" r:id="rId4"/>
  </sheets>
  <definedNames>
    <definedName name="_xlnm.Print_Area" localSheetId="1">Composições!$A$1:$F$128</definedName>
    <definedName name="_xlnm.Print_Area" localSheetId="2">Cronograma!$A$1:$AB$110</definedName>
    <definedName name="_xlnm.Print_Area" localSheetId="0">'Orçamento final pintura asfalto'!$A$1:$I$165</definedName>
  </definedNames>
  <calcPr calcId="162913"/>
</workbook>
</file>

<file path=xl/calcChain.xml><?xml version="1.0" encoding="utf-8"?>
<calcChain xmlns="http://schemas.openxmlformats.org/spreadsheetml/2006/main">
  <c r="G164" i="10" l="1"/>
  <c r="D7" i="10" l="1"/>
  <c r="F7" i="10"/>
  <c r="D8" i="10"/>
  <c r="F8" i="10"/>
  <c r="D9" i="10"/>
  <c r="F9" i="10"/>
  <c r="F16" i="10"/>
  <c r="F17" i="10"/>
  <c r="G17" i="10" s="1"/>
  <c r="D18" i="10"/>
  <c r="F18" i="10"/>
  <c r="F21" i="10"/>
  <c r="G21" i="10"/>
  <c r="F22" i="10"/>
  <c r="G22" i="10" s="1"/>
  <c r="F23" i="10"/>
  <c r="G23" i="10" s="1"/>
  <c r="F24" i="10"/>
  <c r="G24" i="10" s="1"/>
  <c r="F25" i="10"/>
  <c r="G25" i="10" s="1"/>
  <c r="G9" i="10" l="1"/>
  <c r="G7" i="10"/>
  <c r="G18" i="10"/>
  <c r="G26" i="10"/>
  <c r="G8" i="10"/>
  <c r="D16" i="10"/>
  <c r="G16" i="10" s="1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Y67" i="3"/>
  <c r="Y68" i="3"/>
  <c r="Y69" i="3"/>
  <c r="W7" i="3"/>
  <c r="W26" i="3"/>
  <c r="W45" i="3"/>
  <c r="W65" i="3"/>
  <c r="W89" i="3"/>
  <c r="U7" i="3"/>
  <c r="U26" i="3"/>
  <c r="U45" i="3"/>
  <c r="U65" i="3"/>
  <c r="U89" i="3"/>
  <c r="S7" i="3"/>
  <c r="S26" i="3"/>
  <c r="S45" i="3"/>
  <c r="S65" i="3"/>
  <c r="Q7" i="3"/>
  <c r="Q26" i="3"/>
  <c r="Q45" i="3"/>
  <c r="Q65" i="3"/>
  <c r="Q89" i="3"/>
  <c r="O7" i="3"/>
  <c r="O26" i="3"/>
  <c r="O45" i="3"/>
  <c r="O65" i="3"/>
  <c r="M7" i="3"/>
  <c r="M26" i="3"/>
  <c r="M45" i="3"/>
  <c r="M65" i="3"/>
  <c r="M89" i="3"/>
  <c r="K7" i="3"/>
  <c r="K26" i="3"/>
  <c r="I7" i="3"/>
  <c r="I26" i="3"/>
  <c r="G7" i="3"/>
  <c r="G10" i="10" l="1"/>
  <c r="AA45" i="3"/>
  <c r="AC45" i="3" s="1"/>
  <c r="AA7" i="3"/>
  <c r="AC7" i="3" s="1"/>
  <c r="AA26" i="3"/>
  <c r="AC26" i="3" s="1"/>
  <c r="AA89" i="3"/>
  <c r="AC89" i="3" s="1"/>
  <c r="AA65" i="3"/>
  <c r="AC65" i="3" s="1"/>
  <c r="B104" i="3"/>
  <c r="B105" i="3"/>
  <c r="B106" i="3"/>
  <c r="B102" i="3"/>
  <c r="B103" i="3"/>
  <c r="B97" i="3"/>
  <c r="B98" i="3"/>
  <c r="B99" i="3"/>
  <c r="B100" i="3"/>
  <c r="B95" i="3"/>
  <c r="B91" i="3"/>
  <c r="B92" i="3"/>
  <c r="B93" i="3"/>
  <c r="B101" i="3"/>
  <c r="B96" i="3"/>
  <c r="B94" i="3"/>
  <c r="B90" i="3"/>
  <c r="B86" i="3"/>
  <c r="B87" i="3"/>
  <c r="B81" i="3"/>
  <c r="B82" i="3"/>
  <c r="B83" i="3"/>
  <c r="B84" i="3"/>
  <c r="B85" i="3"/>
  <c r="B80" i="3"/>
  <c r="B77" i="3"/>
  <c r="B78" i="3"/>
  <c r="B73" i="3"/>
  <c r="B74" i="3"/>
  <c r="B75" i="3"/>
  <c r="B76" i="3"/>
  <c r="B71" i="3"/>
  <c r="B69" i="3"/>
  <c r="B67" i="3"/>
  <c r="B68" i="3"/>
  <c r="B79" i="3"/>
  <c r="B72" i="3"/>
  <c r="B70" i="3"/>
  <c r="B66" i="3"/>
  <c r="B65" i="3"/>
  <c r="B59" i="3"/>
  <c r="B60" i="3"/>
  <c r="B61" i="3"/>
  <c r="B62" i="3"/>
  <c r="B63" i="3"/>
  <c r="B58" i="3"/>
  <c r="B54" i="3"/>
  <c r="B55" i="3"/>
  <c r="B56" i="3"/>
  <c r="B53" i="3"/>
  <c r="B51" i="3"/>
  <c r="B48" i="3"/>
  <c r="B49" i="3"/>
  <c r="B47" i="3"/>
  <c r="B57" i="3"/>
  <c r="B52" i="3"/>
  <c r="B50" i="3"/>
  <c r="B46" i="3"/>
  <c r="B45" i="3"/>
  <c r="B40" i="3"/>
  <c r="B41" i="3"/>
  <c r="B42" i="3"/>
  <c r="B43" i="3"/>
  <c r="B39" i="3"/>
  <c r="B34" i="3"/>
  <c r="B35" i="3"/>
  <c r="B36" i="3"/>
  <c r="B37" i="3"/>
  <c r="B32" i="3"/>
  <c r="B28" i="3"/>
  <c r="B29" i="3"/>
  <c r="B30" i="3"/>
  <c r="B38" i="3"/>
  <c r="B33" i="3"/>
  <c r="B31" i="3"/>
  <c r="B27" i="3"/>
  <c r="B26" i="3"/>
  <c r="B21" i="3"/>
  <c r="B22" i="3"/>
  <c r="B23" i="3"/>
  <c r="B24" i="3"/>
  <c r="B20" i="3"/>
  <c r="B19" i="3"/>
  <c r="B16" i="3"/>
  <c r="B17" i="3"/>
  <c r="B18" i="3"/>
  <c r="B15" i="3"/>
  <c r="B14" i="3"/>
  <c r="B13" i="3"/>
  <c r="B12" i="3"/>
  <c r="B9" i="3"/>
  <c r="B10" i="3"/>
  <c r="B11" i="3"/>
  <c r="B8" i="3"/>
  <c r="B7" i="3"/>
  <c r="E19" i="5" l="1"/>
  <c r="E15" i="10" s="1"/>
  <c r="F15" i="10" s="1"/>
  <c r="G15" i="10" s="1"/>
  <c r="G19" i="10" s="1"/>
  <c r="E53" i="5"/>
  <c r="E54" i="5" s="1"/>
  <c r="E58" i="5" l="1"/>
  <c r="F153" i="10"/>
  <c r="D68" i="10" l="1"/>
  <c r="D42" i="10"/>
  <c r="F161" i="10" l="1"/>
  <c r="G161" i="10" s="1"/>
  <c r="C106" i="3" s="1"/>
  <c r="Y106" i="3" s="1"/>
  <c r="F160" i="10"/>
  <c r="G160" i="10" s="1"/>
  <c r="C105" i="3" s="1"/>
  <c r="Y105" i="3" s="1"/>
  <c r="F159" i="10"/>
  <c r="G159" i="10" s="1"/>
  <c r="C104" i="3" s="1"/>
  <c r="F158" i="10"/>
  <c r="G158" i="10" s="1"/>
  <c r="C103" i="3" s="1"/>
  <c r="F157" i="10"/>
  <c r="G157" i="10" s="1"/>
  <c r="C102" i="3" s="1"/>
  <c r="F154" i="10"/>
  <c r="F152" i="10"/>
  <c r="F145" i="10"/>
  <c r="G145" i="10" s="1"/>
  <c r="C93" i="3" s="1"/>
  <c r="F144" i="10"/>
  <c r="G144" i="10" s="1"/>
  <c r="C92" i="3" s="1"/>
  <c r="F143" i="10"/>
  <c r="D143" i="10"/>
  <c r="F135" i="10"/>
  <c r="G135" i="10" s="1"/>
  <c r="C87" i="3" s="1"/>
  <c r="F133" i="10"/>
  <c r="G133" i="10" s="1"/>
  <c r="C85" i="3" s="1"/>
  <c r="F132" i="10"/>
  <c r="G132" i="10" s="1"/>
  <c r="C84" i="3" s="1"/>
  <c r="F131" i="10"/>
  <c r="G131" i="10" s="1"/>
  <c r="C83" i="3" s="1"/>
  <c r="F130" i="10"/>
  <c r="G130" i="10" s="1"/>
  <c r="C82" i="3" s="1"/>
  <c r="F129" i="10"/>
  <c r="G129" i="10" s="1"/>
  <c r="C81" i="3" s="1"/>
  <c r="F128" i="10"/>
  <c r="G128" i="10" s="1"/>
  <c r="C80" i="3" s="1"/>
  <c r="F124" i="10"/>
  <c r="G124" i="10" s="1"/>
  <c r="C77" i="3" s="1"/>
  <c r="F123" i="10"/>
  <c r="G123" i="10" s="1"/>
  <c r="C76" i="3" s="1"/>
  <c r="F122" i="10"/>
  <c r="G122" i="10" s="1"/>
  <c r="C75" i="3" s="1"/>
  <c r="F121" i="10"/>
  <c r="G121" i="10" s="1"/>
  <c r="C74" i="3" s="1"/>
  <c r="F114" i="10"/>
  <c r="G114" i="10" s="1"/>
  <c r="C69" i="3" s="1"/>
  <c r="F113" i="10"/>
  <c r="G113" i="10" s="1"/>
  <c r="C68" i="3" s="1"/>
  <c r="F112" i="10"/>
  <c r="D112" i="10"/>
  <c r="F104" i="10"/>
  <c r="G104" i="10" s="1"/>
  <c r="C63" i="3" s="1"/>
  <c r="F103" i="10"/>
  <c r="G103" i="10" s="1"/>
  <c r="C62" i="3" s="1"/>
  <c r="F102" i="10"/>
  <c r="G102" i="10" s="1"/>
  <c r="C61" i="3" s="1"/>
  <c r="F101" i="10"/>
  <c r="G101" i="10" s="1"/>
  <c r="C60" i="3" s="1"/>
  <c r="F100" i="10"/>
  <c r="G100" i="10" s="1"/>
  <c r="C59" i="3" s="1"/>
  <c r="F99" i="10"/>
  <c r="G99" i="10" s="1"/>
  <c r="C58" i="3" s="1"/>
  <c r="F96" i="10"/>
  <c r="G96" i="10" s="1"/>
  <c r="C56" i="3" s="1"/>
  <c r="F95" i="10"/>
  <c r="F94" i="10"/>
  <c r="G94" i="10" s="1"/>
  <c r="C54" i="3" s="1"/>
  <c r="F87" i="10"/>
  <c r="D87" i="10"/>
  <c r="F86" i="10"/>
  <c r="F85" i="10"/>
  <c r="D85" i="10"/>
  <c r="F77" i="10"/>
  <c r="G77" i="10" s="1"/>
  <c r="C43" i="3" s="1"/>
  <c r="F76" i="10"/>
  <c r="G76" i="10" s="1"/>
  <c r="C42" i="3" s="1"/>
  <c r="F75" i="10"/>
  <c r="G75" i="10" s="1"/>
  <c r="C41" i="3" s="1"/>
  <c r="F74" i="10"/>
  <c r="G74" i="10" s="1"/>
  <c r="C40" i="3" s="1"/>
  <c r="F73" i="10"/>
  <c r="G73" i="10" s="1"/>
  <c r="C39" i="3" s="1"/>
  <c r="F70" i="10"/>
  <c r="F69" i="10"/>
  <c r="F68" i="10"/>
  <c r="F61" i="10"/>
  <c r="G61" i="10" s="1"/>
  <c r="C30" i="3" s="1"/>
  <c r="F60" i="10"/>
  <c r="G60" i="10" s="1"/>
  <c r="C29" i="3" s="1"/>
  <c r="F59" i="10"/>
  <c r="G59" i="10" s="1"/>
  <c r="C28" i="3" s="1"/>
  <c r="F51" i="10"/>
  <c r="G51" i="10" s="1"/>
  <c r="C24" i="3" s="1"/>
  <c r="F50" i="10"/>
  <c r="G50" i="10" s="1"/>
  <c r="C23" i="3" s="1"/>
  <c r="F49" i="10"/>
  <c r="G49" i="10" s="1"/>
  <c r="C22" i="3" s="1"/>
  <c r="F48" i="10"/>
  <c r="G48" i="10" s="1"/>
  <c r="C21" i="3" s="1"/>
  <c r="F47" i="10"/>
  <c r="G47" i="10" s="1"/>
  <c r="C20" i="3" s="1"/>
  <c r="F44" i="10"/>
  <c r="F43" i="10"/>
  <c r="F42" i="10"/>
  <c r="F35" i="10"/>
  <c r="G35" i="10" s="1"/>
  <c r="C11" i="3" s="1"/>
  <c r="F34" i="10"/>
  <c r="F33" i="10"/>
  <c r="G33" i="10" s="1"/>
  <c r="C9" i="3" s="1"/>
  <c r="G85" i="10" l="1"/>
  <c r="C47" i="3" s="1"/>
  <c r="W47" i="3" s="1"/>
  <c r="W60" i="3"/>
  <c r="U60" i="3"/>
  <c r="M60" i="3"/>
  <c r="O60" i="3"/>
  <c r="Q60" i="3"/>
  <c r="S60" i="3"/>
  <c r="W11" i="3"/>
  <c r="U11" i="3"/>
  <c r="S11" i="3"/>
  <c r="Y11" i="3" s="1"/>
  <c r="Q11" i="3"/>
  <c r="K11" i="3"/>
  <c r="G11" i="3"/>
  <c r="M11" i="3"/>
  <c r="I11" i="3"/>
  <c r="O11" i="3"/>
  <c r="W23" i="3"/>
  <c r="U23" i="3"/>
  <c r="K23" i="3"/>
  <c r="S23" i="3"/>
  <c r="Q23" i="3"/>
  <c r="M23" i="3"/>
  <c r="O23" i="3"/>
  <c r="I23" i="3"/>
  <c r="C57" i="3"/>
  <c r="W58" i="3"/>
  <c r="U58" i="3"/>
  <c r="O58" i="3"/>
  <c r="M58" i="3"/>
  <c r="S58" i="3"/>
  <c r="Q58" i="3"/>
  <c r="Q77" i="3"/>
  <c r="S77" i="3"/>
  <c r="U77" i="3"/>
  <c r="M77" i="3"/>
  <c r="W77" i="3"/>
  <c r="W84" i="3"/>
  <c r="U84" i="3"/>
  <c r="M84" i="3"/>
  <c r="Q84" i="3"/>
  <c r="Y103" i="3"/>
  <c r="W103" i="3"/>
  <c r="E103" i="3"/>
  <c r="S30" i="3"/>
  <c r="W30" i="3"/>
  <c r="U30" i="3"/>
  <c r="Q30" i="3"/>
  <c r="K30" i="3"/>
  <c r="O30" i="3"/>
  <c r="M30" i="3"/>
  <c r="W41" i="3"/>
  <c r="U41" i="3"/>
  <c r="Q41" i="3"/>
  <c r="M41" i="3"/>
  <c r="S41" i="3"/>
  <c r="O41" i="3"/>
  <c r="S59" i="3"/>
  <c r="Q59" i="3"/>
  <c r="M59" i="3"/>
  <c r="U59" i="3"/>
  <c r="O59" i="3"/>
  <c r="W59" i="3"/>
  <c r="U75" i="3"/>
  <c r="W75" i="3"/>
  <c r="S75" i="3"/>
  <c r="M75" i="3"/>
  <c r="Q75" i="3"/>
  <c r="Y93" i="3"/>
  <c r="W93" i="3"/>
  <c r="W21" i="3"/>
  <c r="U21" i="3"/>
  <c r="Q21" i="3"/>
  <c r="S21" i="3"/>
  <c r="O21" i="3"/>
  <c r="M21" i="3"/>
  <c r="I21" i="3"/>
  <c r="K21" i="3"/>
  <c r="C38" i="3"/>
  <c r="W39" i="3"/>
  <c r="U39" i="3"/>
  <c r="S39" i="3"/>
  <c r="M39" i="3"/>
  <c r="Q39" i="3"/>
  <c r="O39" i="3"/>
  <c r="K39" i="3"/>
  <c r="W68" i="3"/>
  <c r="U68" i="3"/>
  <c r="S68" i="3"/>
  <c r="Q68" i="3"/>
  <c r="M68" i="3"/>
  <c r="O68" i="3"/>
  <c r="W80" i="3"/>
  <c r="S80" i="3"/>
  <c r="U80" i="3"/>
  <c r="Q80" i="3"/>
  <c r="M80" i="3"/>
  <c r="U82" i="3"/>
  <c r="Q82" i="3"/>
  <c r="S82" i="3"/>
  <c r="M82" i="3"/>
  <c r="W82" i="3"/>
  <c r="U87" i="3"/>
  <c r="W87" i="3"/>
  <c r="Q87" i="3"/>
  <c r="M87" i="3"/>
  <c r="Y92" i="3"/>
  <c r="Q92" i="3"/>
  <c r="W92" i="3"/>
  <c r="C101" i="3"/>
  <c r="W101" i="3" s="1"/>
  <c r="AA101" i="3" s="1"/>
  <c r="AC101" i="3" s="1"/>
  <c r="W102" i="3"/>
  <c r="Y102" i="3"/>
  <c r="W9" i="3"/>
  <c r="M9" i="3"/>
  <c r="Q9" i="3"/>
  <c r="K9" i="3"/>
  <c r="O9" i="3"/>
  <c r="G9" i="3"/>
  <c r="U9" i="3"/>
  <c r="S9" i="3"/>
  <c r="I9" i="3"/>
  <c r="C19" i="3"/>
  <c r="Q20" i="3"/>
  <c r="O20" i="3"/>
  <c r="I20" i="3"/>
  <c r="S20" i="3"/>
  <c r="M20" i="3"/>
  <c r="W20" i="3"/>
  <c r="K20" i="3"/>
  <c r="U20" i="3"/>
  <c r="W40" i="3"/>
  <c r="U40" i="3"/>
  <c r="S40" i="3"/>
  <c r="M40" i="3"/>
  <c r="Q40" i="3"/>
  <c r="O40" i="3"/>
  <c r="W61" i="3"/>
  <c r="U61" i="3"/>
  <c r="O61" i="3"/>
  <c r="S61" i="3"/>
  <c r="Q61" i="3"/>
  <c r="M61" i="3"/>
  <c r="U74" i="3"/>
  <c r="S74" i="3"/>
  <c r="W74" i="3"/>
  <c r="Q74" i="3"/>
  <c r="M74" i="3"/>
  <c r="U81" i="3"/>
  <c r="W81" i="3"/>
  <c r="M81" i="3"/>
  <c r="Q81" i="3"/>
  <c r="S81" i="3"/>
  <c r="W24" i="3"/>
  <c r="S24" i="3"/>
  <c r="Q24" i="3"/>
  <c r="O24" i="3"/>
  <c r="I24" i="3"/>
  <c r="U24" i="3"/>
  <c r="K24" i="3"/>
  <c r="M24" i="3"/>
  <c r="W29" i="3"/>
  <c r="U29" i="3"/>
  <c r="Q29" i="3"/>
  <c r="O29" i="3"/>
  <c r="S29" i="3"/>
  <c r="M29" i="3"/>
  <c r="K29" i="3"/>
  <c r="W54" i="3"/>
  <c r="M54" i="3"/>
  <c r="U54" i="3"/>
  <c r="Q54" i="3"/>
  <c r="S54" i="3"/>
  <c r="O54" i="3"/>
  <c r="W62" i="3"/>
  <c r="U62" i="3"/>
  <c r="O62" i="3"/>
  <c r="M62" i="3"/>
  <c r="S62" i="3"/>
  <c r="Q62" i="3"/>
  <c r="W69" i="3"/>
  <c r="U69" i="3"/>
  <c r="M69" i="3"/>
  <c r="S69" i="3"/>
  <c r="Q69" i="3"/>
  <c r="O69" i="3"/>
  <c r="W85" i="3"/>
  <c r="M85" i="3"/>
  <c r="Q85" i="3"/>
  <c r="U85" i="3"/>
  <c r="E104" i="3"/>
  <c r="Y104" i="3"/>
  <c r="W104" i="3"/>
  <c r="W28" i="3"/>
  <c r="U28" i="3"/>
  <c r="K28" i="3"/>
  <c r="S28" i="3"/>
  <c r="Q28" i="3"/>
  <c r="M28" i="3"/>
  <c r="O28" i="3"/>
  <c r="I28" i="3"/>
  <c r="C27" i="3"/>
  <c r="W42" i="3"/>
  <c r="S42" i="3"/>
  <c r="O42" i="3"/>
  <c r="U42" i="3"/>
  <c r="M42" i="3"/>
  <c r="Q42" i="3"/>
  <c r="W63" i="3"/>
  <c r="U63" i="3"/>
  <c r="S63" i="3"/>
  <c r="Q63" i="3"/>
  <c r="M63" i="3"/>
  <c r="O63" i="3"/>
  <c r="W22" i="3"/>
  <c r="U22" i="3"/>
  <c r="S22" i="3"/>
  <c r="M22" i="3"/>
  <c r="Q22" i="3"/>
  <c r="O22" i="3"/>
  <c r="I22" i="3"/>
  <c r="K22" i="3"/>
  <c r="Q43" i="3"/>
  <c r="O43" i="3"/>
  <c r="M43" i="3"/>
  <c r="U43" i="3"/>
  <c r="W43" i="3"/>
  <c r="S43" i="3"/>
  <c r="W56" i="3"/>
  <c r="U56" i="3"/>
  <c r="O56" i="3"/>
  <c r="S56" i="3"/>
  <c r="Q56" i="3"/>
  <c r="M56" i="3"/>
  <c r="G112" i="10"/>
  <c r="C67" i="3" s="1"/>
  <c r="S76" i="3"/>
  <c r="Q76" i="3"/>
  <c r="W76" i="3"/>
  <c r="U76" i="3"/>
  <c r="M76" i="3"/>
  <c r="U83" i="3"/>
  <c r="W83" i="3"/>
  <c r="S83" i="3"/>
  <c r="Q83" i="3"/>
  <c r="M83" i="3"/>
  <c r="E41" i="3"/>
  <c r="K41" i="3"/>
  <c r="E21" i="3"/>
  <c r="G21" i="3"/>
  <c r="E39" i="3"/>
  <c r="G86" i="10"/>
  <c r="C48" i="3" s="1"/>
  <c r="E62" i="3"/>
  <c r="E77" i="3"/>
  <c r="E84" i="3"/>
  <c r="S84" i="3"/>
  <c r="G143" i="10"/>
  <c r="C91" i="3" s="1"/>
  <c r="E22" i="3"/>
  <c r="G22" i="3"/>
  <c r="G87" i="10"/>
  <c r="C49" i="3" s="1"/>
  <c r="G162" i="10"/>
  <c r="G154" i="10"/>
  <c r="C100" i="3" s="1"/>
  <c r="G153" i="10"/>
  <c r="C99" i="3" s="1"/>
  <c r="G43" i="10"/>
  <c r="C17" i="3" s="1"/>
  <c r="D44" i="10"/>
  <c r="G44" i="10" s="1"/>
  <c r="C18" i="3" s="1"/>
  <c r="G78" i="10"/>
  <c r="G52" i="10"/>
  <c r="G62" i="10"/>
  <c r="G105" i="10"/>
  <c r="G34" i="10"/>
  <c r="G42" i="10"/>
  <c r="C16" i="3" s="1"/>
  <c r="G68" i="10"/>
  <c r="C35" i="3" s="1"/>
  <c r="G95" i="10"/>
  <c r="C55" i="3" s="1"/>
  <c r="G152" i="10"/>
  <c r="C98" i="3" s="1"/>
  <c r="F43" i="5"/>
  <c r="F42" i="5"/>
  <c r="F41" i="5"/>
  <c r="F38" i="5"/>
  <c r="L36" i="5"/>
  <c r="F39" i="5" s="1"/>
  <c r="G115" i="10" l="1"/>
  <c r="Q47" i="3"/>
  <c r="M47" i="3"/>
  <c r="S47" i="3"/>
  <c r="U47" i="3"/>
  <c r="O47" i="3"/>
  <c r="G146" i="10"/>
  <c r="C46" i="3"/>
  <c r="G88" i="10"/>
  <c r="Y100" i="3"/>
  <c r="W100" i="3"/>
  <c r="W48" i="3"/>
  <c r="U48" i="3"/>
  <c r="S48" i="3"/>
  <c r="M48" i="3"/>
  <c r="Q48" i="3"/>
  <c r="O48" i="3"/>
  <c r="U27" i="3"/>
  <c r="S27" i="3"/>
  <c r="Y27" i="3" s="1"/>
  <c r="M27" i="3"/>
  <c r="Q27" i="3"/>
  <c r="O27" i="3"/>
  <c r="I27" i="3"/>
  <c r="W27" i="3"/>
  <c r="K27" i="3"/>
  <c r="W35" i="3"/>
  <c r="U35" i="3"/>
  <c r="S35" i="3"/>
  <c r="Q35" i="3"/>
  <c r="O35" i="3"/>
  <c r="M35" i="3"/>
  <c r="K35" i="3"/>
  <c r="AA39" i="3"/>
  <c r="AC39" i="3" s="1"/>
  <c r="W19" i="3"/>
  <c r="S19" i="3"/>
  <c r="Y19" i="3" s="1"/>
  <c r="K19" i="3"/>
  <c r="U19" i="3"/>
  <c r="M19" i="3"/>
  <c r="I19" i="3"/>
  <c r="Q19" i="3"/>
  <c r="O19" i="3"/>
  <c r="W57" i="3"/>
  <c r="S57" i="3"/>
  <c r="Q57" i="3"/>
  <c r="O57" i="3"/>
  <c r="U57" i="3"/>
  <c r="M57" i="3"/>
  <c r="W16" i="3"/>
  <c r="U16" i="3"/>
  <c r="Q16" i="3"/>
  <c r="I16" i="3"/>
  <c r="G16" i="3"/>
  <c r="M16" i="3"/>
  <c r="S16" i="3"/>
  <c r="O16" i="3"/>
  <c r="K16" i="3"/>
  <c r="U17" i="3"/>
  <c r="W17" i="3"/>
  <c r="Q17" i="3"/>
  <c r="G17" i="3"/>
  <c r="M17" i="3"/>
  <c r="K17" i="3"/>
  <c r="S17" i="3"/>
  <c r="O17" i="3"/>
  <c r="I17" i="3"/>
  <c r="AA22" i="3"/>
  <c r="AC22" i="3" s="1"/>
  <c r="AA77" i="3"/>
  <c r="AC77" i="3" s="1"/>
  <c r="S38" i="3"/>
  <c r="O38" i="3"/>
  <c r="Q38" i="3"/>
  <c r="U38" i="3"/>
  <c r="K38" i="3"/>
  <c r="W38" i="3"/>
  <c r="M38" i="3"/>
  <c r="W55" i="3"/>
  <c r="U55" i="3"/>
  <c r="S55" i="3"/>
  <c r="Q55" i="3"/>
  <c r="O55" i="3"/>
  <c r="M55" i="3"/>
  <c r="U49" i="3"/>
  <c r="W49" i="3"/>
  <c r="Q49" i="3"/>
  <c r="O49" i="3"/>
  <c r="S49" i="3"/>
  <c r="M49" i="3"/>
  <c r="W67" i="3"/>
  <c r="U67" i="3"/>
  <c r="S67" i="3"/>
  <c r="Q67" i="3"/>
  <c r="C66" i="3"/>
  <c r="O67" i="3"/>
  <c r="M67" i="3"/>
  <c r="W18" i="3"/>
  <c r="U18" i="3"/>
  <c r="S18" i="3"/>
  <c r="Y18" i="3" s="1"/>
  <c r="M18" i="3"/>
  <c r="O18" i="3"/>
  <c r="Q18" i="3"/>
  <c r="I18" i="3"/>
  <c r="G18" i="3"/>
  <c r="K18" i="3"/>
  <c r="AA84" i="3"/>
  <c r="AC84" i="3" s="1"/>
  <c r="AA41" i="3"/>
  <c r="AC41" i="3" s="1"/>
  <c r="Y98" i="3"/>
  <c r="W98" i="3"/>
  <c r="Y99" i="3"/>
  <c r="W99" i="3"/>
  <c r="Y91" i="3"/>
  <c r="C90" i="3"/>
  <c r="W91" i="3"/>
  <c r="Q91" i="3"/>
  <c r="AA62" i="3"/>
  <c r="AC62" i="3" s="1"/>
  <c r="AA21" i="3"/>
  <c r="AC21" i="3" s="1"/>
  <c r="AA104" i="3"/>
  <c r="AC104" i="3" s="1"/>
  <c r="AA103" i="3"/>
  <c r="AC103" i="3" s="1"/>
  <c r="W46" i="3"/>
  <c r="U46" i="3"/>
  <c r="Q46" i="3"/>
  <c r="M46" i="3"/>
  <c r="S46" i="3"/>
  <c r="Y46" i="3" s="1"/>
  <c r="O46" i="3"/>
  <c r="G36" i="10"/>
  <c r="C10" i="3"/>
  <c r="C8" i="3" s="1"/>
  <c r="M8" i="3" s="1"/>
  <c r="G70" i="10"/>
  <c r="C37" i="3" s="1"/>
  <c r="G69" i="10"/>
  <c r="C36" i="3" s="1"/>
  <c r="F40" i="5"/>
  <c r="E45" i="5" s="1"/>
  <c r="U8" i="3" l="1"/>
  <c r="I8" i="3"/>
  <c r="O8" i="3"/>
  <c r="W8" i="3"/>
  <c r="G8" i="3"/>
  <c r="K8" i="3"/>
  <c r="S8" i="3"/>
  <c r="Y8" i="3" s="1"/>
  <c r="Q8" i="3"/>
  <c r="W90" i="3"/>
  <c r="M90" i="3"/>
  <c r="U90" i="3"/>
  <c r="Q90" i="3"/>
  <c r="O66" i="3"/>
  <c r="U66" i="3"/>
  <c r="W66" i="3"/>
  <c r="M66" i="3"/>
  <c r="Q66" i="3"/>
  <c r="S66" i="3"/>
  <c r="Y66" i="3" s="1"/>
  <c r="M36" i="3"/>
  <c r="K36" i="3"/>
  <c r="U36" i="3"/>
  <c r="W36" i="3"/>
  <c r="S36" i="3"/>
  <c r="Q36" i="3"/>
  <c r="O36" i="3"/>
  <c r="AA38" i="3"/>
  <c r="AC38" i="3" s="1"/>
  <c r="AA57" i="3"/>
  <c r="AC57" i="3" s="1"/>
  <c r="W37" i="3"/>
  <c r="Q37" i="3"/>
  <c r="M37" i="3"/>
  <c r="K37" i="3"/>
  <c r="U37" i="3"/>
  <c r="O37" i="3"/>
  <c r="S37" i="3"/>
  <c r="U10" i="3"/>
  <c r="W10" i="3"/>
  <c r="O10" i="3"/>
  <c r="S10" i="3"/>
  <c r="Q10" i="3"/>
  <c r="M10" i="3"/>
  <c r="I10" i="3"/>
  <c r="K10" i="3"/>
  <c r="G10" i="3"/>
  <c r="E125" i="10"/>
  <c r="F125" i="10" s="1"/>
  <c r="G125" i="10" s="1"/>
  <c r="C78" i="3" s="1"/>
  <c r="L23" i="5"/>
  <c r="E25" i="5"/>
  <c r="U78" i="3" l="1"/>
  <c r="Q78" i="3"/>
  <c r="S78" i="3"/>
  <c r="W78" i="3"/>
  <c r="M78" i="3"/>
  <c r="F25" i="5"/>
  <c r="E26" i="5" l="1"/>
  <c r="F26" i="5" s="1"/>
  <c r="F29" i="5"/>
  <c r="F30" i="5"/>
  <c r="E27" i="5"/>
  <c r="E28" i="5" s="1"/>
  <c r="F28" i="5" s="1"/>
  <c r="F27" i="5" l="1"/>
  <c r="E32" i="5" s="1"/>
  <c r="E7" i="5"/>
  <c r="E12" i="10" s="1"/>
  <c r="F12" i="10" s="1"/>
  <c r="G12" i="10" s="1"/>
  <c r="G13" i="10" s="1"/>
  <c r="G27" i="10" s="1"/>
  <c r="E148" i="10" l="1"/>
  <c r="F148" i="10" s="1"/>
  <c r="G148" i="10" s="1"/>
  <c r="E90" i="10"/>
  <c r="F90" i="10" s="1"/>
  <c r="G90" i="10" s="1"/>
  <c r="E38" i="10"/>
  <c r="F38" i="10" s="1"/>
  <c r="G38" i="10" s="1"/>
  <c r="E117" i="10"/>
  <c r="F117" i="10" s="1"/>
  <c r="G117" i="10" s="1"/>
  <c r="E64" i="10"/>
  <c r="F64" i="10" s="1"/>
  <c r="G64" i="10" s="1"/>
  <c r="E134" i="10"/>
  <c r="F134" i="10" s="1"/>
  <c r="G134" i="10" s="1"/>
  <c r="G118" i="10" l="1"/>
  <c r="C71" i="3"/>
  <c r="G149" i="10"/>
  <c r="C95" i="3"/>
  <c r="G65" i="10"/>
  <c r="C32" i="3"/>
  <c r="G91" i="10"/>
  <c r="C51" i="3"/>
  <c r="G136" i="10"/>
  <c r="C86" i="3"/>
  <c r="C79" i="3" s="1"/>
  <c r="G39" i="10"/>
  <c r="C13" i="3"/>
  <c r="W106" i="3"/>
  <c r="W105" i="3"/>
  <c r="M79" i="3" l="1"/>
  <c r="U79" i="3"/>
  <c r="Q79" i="3"/>
  <c r="S79" i="3"/>
  <c r="W79" i="3"/>
  <c r="C50" i="3"/>
  <c r="U51" i="3"/>
  <c r="S51" i="3"/>
  <c r="Q51" i="3"/>
  <c r="O51" i="3"/>
  <c r="M51" i="3"/>
  <c r="W51" i="3"/>
  <c r="U86" i="3"/>
  <c r="W86" i="3"/>
  <c r="Q86" i="3"/>
  <c r="M86" i="3"/>
  <c r="C94" i="3"/>
  <c r="W94" i="3" s="1"/>
  <c r="AA94" i="3" s="1"/>
  <c r="AC94" i="3" s="1"/>
  <c r="Y95" i="3"/>
  <c r="W95" i="3"/>
  <c r="C12" i="3"/>
  <c r="W13" i="3"/>
  <c r="S13" i="3"/>
  <c r="Y13" i="3" s="1"/>
  <c r="U13" i="3"/>
  <c r="O13" i="3"/>
  <c r="Q13" i="3"/>
  <c r="I13" i="3"/>
  <c r="G13" i="3"/>
  <c r="K13" i="3"/>
  <c r="M13" i="3"/>
  <c r="C31" i="3"/>
  <c r="W32" i="3"/>
  <c r="K32" i="3"/>
  <c r="Q32" i="3"/>
  <c r="M32" i="3"/>
  <c r="O32" i="3"/>
  <c r="U32" i="3"/>
  <c r="S32" i="3"/>
  <c r="C70" i="3"/>
  <c r="W71" i="3"/>
  <c r="U71" i="3"/>
  <c r="M71" i="3"/>
  <c r="O71" i="3"/>
  <c r="Q71" i="3"/>
  <c r="S71" i="3"/>
  <c r="S86" i="3"/>
  <c r="E86" i="3"/>
  <c r="E93" i="10"/>
  <c r="F93" i="10" s="1"/>
  <c r="G93" i="10" s="1"/>
  <c r="E120" i="10"/>
  <c r="F120" i="10" s="1"/>
  <c r="G120" i="10" s="1"/>
  <c r="E151" i="10"/>
  <c r="F151" i="10" s="1"/>
  <c r="G151" i="10" s="1"/>
  <c r="E67" i="10"/>
  <c r="F67" i="10" s="1"/>
  <c r="G67" i="10" s="1"/>
  <c r="E41" i="10"/>
  <c r="F41" i="10" s="1"/>
  <c r="G41" i="10" s="1"/>
  <c r="E95" i="3"/>
  <c r="E105" i="3"/>
  <c r="AA105" i="3" s="1"/>
  <c r="AC105" i="3" s="1"/>
  <c r="E106" i="3"/>
  <c r="AA106" i="3" s="1"/>
  <c r="AC106" i="3" s="1"/>
  <c r="AA79" i="3" l="1"/>
  <c r="AC79" i="3" s="1"/>
  <c r="Q50" i="3"/>
  <c r="W50" i="3"/>
  <c r="U50" i="3"/>
  <c r="M50" i="3"/>
  <c r="S50" i="3"/>
  <c r="O50" i="3"/>
  <c r="G155" i="10"/>
  <c r="C97" i="3"/>
  <c r="AA86" i="3"/>
  <c r="AC86" i="3" s="1"/>
  <c r="U70" i="3"/>
  <c r="O70" i="3"/>
  <c r="S70" i="3"/>
  <c r="Q70" i="3"/>
  <c r="W70" i="3"/>
  <c r="M70" i="3"/>
  <c r="U31" i="3"/>
  <c r="W31" i="3"/>
  <c r="M31" i="3"/>
  <c r="O31" i="3"/>
  <c r="K31" i="3"/>
  <c r="S31" i="3"/>
  <c r="Q31" i="3"/>
  <c r="AA95" i="3"/>
  <c r="AC95" i="3" s="1"/>
  <c r="S12" i="3"/>
  <c r="Y12" i="3" s="1"/>
  <c r="W12" i="3"/>
  <c r="U12" i="3"/>
  <c r="I12" i="3"/>
  <c r="G12" i="3"/>
  <c r="K12" i="3"/>
  <c r="O12" i="3"/>
  <c r="Q12" i="3"/>
  <c r="M12" i="3"/>
  <c r="G45" i="10"/>
  <c r="C15" i="3"/>
  <c r="G97" i="10"/>
  <c r="C53" i="3"/>
  <c r="G71" i="10"/>
  <c r="G79" i="10" s="1"/>
  <c r="C34" i="3"/>
  <c r="G126" i="10"/>
  <c r="C73" i="3"/>
  <c r="E92" i="3"/>
  <c r="AA92" i="3" s="1"/>
  <c r="AC92" i="3" s="1"/>
  <c r="E93" i="3"/>
  <c r="AA93" i="3" s="1"/>
  <c r="AC93" i="3" s="1"/>
  <c r="E99" i="3"/>
  <c r="AA99" i="3" s="1"/>
  <c r="AC99" i="3" s="1"/>
  <c r="E100" i="3"/>
  <c r="AA100" i="3" s="1"/>
  <c r="AC100" i="3" s="1"/>
  <c r="G106" i="10" l="1"/>
  <c r="G163" i="10"/>
  <c r="AA31" i="3"/>
  <c r="AC31" i="3" s="1"/>
  <c r="AA50" i="3"/>
  <c r="AC50" i="3" s="1"/>
  <c r="C96" i="3"/>
  <c r="W96" i="3" s="1"/>
  <c r="AA96" i="3" s="1"/>
  <c r="AC96" i="3" s="1"/>
  <c r="W97" i="3"/>
  <c r="Y97" i="3"/>
  <c r="E97" i="3"/>
  <c r="AA12" i="3"/>
  <c r="AC12" i="3" s="1"/>
  <c r="S73" i="3"/>
  <c r="M73" i="3"/>
  <c r="W73" i="3"/>
  <c r="Q73" i="3"/>
  <c r="C72" i="3"/>
  <c r="U73" i="3"/>
  <c r="C52" i="3"/>
  <c r="U53" i="3"/>
  <c r="W53" i="3"/>
  <c r="S53" i="3"/>
  <c r="Q53" i="3"/>
  <c r="O53" i="3"/>
  <c r="M53" i="3"/>
  <c r="AA70" i="3"/>
  <c r="AC70" i="3" s="1"/>
  <c r="U34" i="3"/>
  <c r="C33" i="3"/>
  <c r="W34" i="3"/>
  <c r="S34" i="3"/>
  <c r="O34" i="3"/>
  <c r="Q34" i="3"/>
  <c r="M34" i="3"/>
  <c r="K34" i="3"/>
  <c r="C14" i="3"/>
  <c r="W15" i="3"/>
  <c r="O15" i="3"/>
  <c r="K15" i="3"/>
  <c r="Q15" i="3"/>
  <c r="M15" i="3"/>
  <c r="U15" i="3"/>
  <c r="S15" i="3"/>
  <c r="I15" i="3"/>
  <c r="G15" i="3"/>
  <c r="G53" i="10"/>
  <c r="G137" i="10"/>
  <c r="E102" i="3"/>
  <c r="AA102" i="3" s="1"/>
  <c r="AC102" i="3" s="1"/>
  <c r="E83" i="3"/>
  <c r="AA83" i="3" s="1"/>
  <c r="AC83" i="3" s="1"/>
  <c r="E91" i="3"/>
  <c r="AA91" i="3" s="1"/>
  <c r="AC91" i="3" s="1"/>
  <c r="E68" i="3"/>
  <c r="AA68" i="3" s="1"/>
  <c r="AC68" i="3" s="1"/>
  <c r="I90" i="3"/>
  <c r="E90" i="3"/>
  <c r="G90" i="3"/>
  <c r="S87" i="3"/>
  <c r="E87" i="3"/>
  <c r="E82" i="3"/>
  <c r="AA82" i="3" s="1"/>
  <c r="AC82" i="3" s="1"/>
  <c r="E85" i="3"/>
  <c r="S85" i="3"/>
  <c r="AA85" i="3" l="1"/>
  <c r="AC85" i="3" s="1"/>
  <c r="S72" i="3"/>
  <c r="U72" i="3"/>
  <c r="Q72" i="3"/>
  <c r="M72" i="3"/>
  <c r="O72" i="3"/>
  <c r="W72" i="3"/>
  <c r="AA97" i="3"/>
  <c r="AC97" i="3" s="1"/>
  <c r="U33" i="3"/>
  <c r="Q33" i="3"/>
  <c r="S33" i="3"/>
  <c r="K33" i="3"/>
  <c r="M33" i="3"/>
  <c r="W33" i="3"/>
  <c r="O33" i="3"/>
  <c r="AA87" i="3"/>
  <c r="AC87" i="3" s="1"/>
  <c r="W14" i="3"/>
  <c r="U14" i="3"/>
  <c r="M14" i="3"/>
  <c r="O14" i="3"/>
  <c r="K14" i="3"/>
  <c r="Q14" i="3"/>
  <c r="I14" i="3"/>
  <c r="G14" i="3"/>
  <c r="S14" i="3"/>
  <c r="Y14" i="3" s="1"/>
  <c r="O52" i="3"/>
  <c r="W52" i="3"/>
  <c r="S52" i="3"/>
  <c r="Q52" i="3"/>
  <c r="M52" i="3"/>
  <c r="U52" i="3"/>
  <c r="E81" i="3"/>
  <c r="AA81" i="3" s="1"/>
  <c r="AC81" i="3" s="1"/>
  <c r="C107" i="3"/>
  <c r="E67" i="3"/>
  <c r="AA67" i="3" s="1"/>
  <c r="AC67" i="3" s="1"/>
  <c r="E69" i="3"/>
  <c r="AA69" i="3" s="1"/>
  <c r="AC69" i="3" s="1"/>
  <c r="E98" i="3"/>
  <c r="AA98" i="3" s="1"/>
  <c r="AC98" i="3" s="1"/>
  <c r="O90" i="3"/>
  <c r="K90" i="3"/>
  <c r="E71" i="3"/>
  <c r="AA71" i="3" s="1"/>
  <c r="AC71" i="3" s="1"/>
  <c r="AA14" i="3" l="1"/>
  <c r="AC14" i="3" s="1"/>
  <c r="AA33" i="3"/>
  <c r="AC33" i="3" s="1"/>
  <c r="AA52" i="3"/>
  <c r="AC52" i="3" s="1"/>
  <c r="AA72" i="3"/>
  <c r="AC72" i="3" s="1"/>
  <c r="E73" i="3"/>
  <c r="AA73" i="3" s="1"/>
  <c r="AC73" i="3" s="1"/>
  <c r="S90" i="3"/>
  <c r="Y90" i="3" s="1"/>
  <c r="E75" i="3"/>
  <c r="AA75" i="3" s="1"/>
  <c r="AC75" i="3" s="1"/>
  <c r="I66" i="3"/>
  <c r="E66" i="3"/>
  <c r="G66" i="3"/>
  <c r="E80" i="3"/>
  <c r="AA80" i="3" s="1"/>
  <c r="AC80" i="3" s="1"/>
  <c r="E76" i="3"/>
  <c r="AA76" i="3" s="1"/>
  <c r="AC76" i="3" s="1"/>
  <c r="AA90" i="3" l="1"/>
  <c r="AC90" i="3" s="1"/>
  <c r="E61" i="3"/>
  <c r="AA61" i="3" s="1"/>
  <c r="AC61" i="3" s="1"/>
  <c r="E63" i="3"/>
  <c r="AA63" i="3" s="1"/>
  <c r="AC63" i="3" s="1"/>
  <c r="E74" i="3"/>
  <c r="AA74" i="3" s="1"/>
  <c r="AC74" i="3" s="1"/>
  <c r="E60" i="3"/>
  <c r="AA60" i="3" s="1"/>
  <c r="AC60" i="3" s="1"/>
  <c r="K66" i="3"/>
  <c r="AA66" i="3" s="1"/>
  <c r="AC66" i="3" s="1"/>
  <c r="E51" i="3"/>
  <c r="AA51" i="3" s="1"/>
  <c r="AC51" i="3" s="1"/>
  <c r="E78" i="3"/>
  <c r="AA78" i="3" s="1"/>
  <c r="AC78" i="3" s="1"/>
  <c r="E53" i="3"/>
  <c r="AA53" i="3" s="1"/>
  <c r="AC53" i="3" s="1"/>
  <c r="E56" i="3" l="1"/>
  <c r="AA56" i="3" s="1"/>
  <c r="AC56" i="3" s="1"/>
  <c r="E48" i="3"/>
  <c r="AA48" i="3" s="1"/>
  <c r="AC48" i="3" s="1"/>
  <c r="E59" i="3"/>
  <c r="AA59" i="3" s="1"/>
  <c r="AC59" i="3" s="1"/>
  <c r="E49" i="3"/>
  <c r="AA49" i="3" s="1"/>
  <c r="AC49" i="3" s="1"/>
  <c r="E55" i="3"/>
  <c r="AA55" i="3" s="1"/>
  <c r="AC55" i="3" s="1"/>
  <c r="E58" i="3"/>
  <c r="AA58" i="3" s="1"/>
  <c r="AC58" i="3" s="1"/>
  <c r="C64" i="3" l="1"/>
  <c r="E47" i="3"/>
  <c r="AA47" i="3" s="1"/>
  <c r="AC47" i="3" s="1"/>
  <c r="I46" i="3"/>
  <c r="G46" i="3"/>
  <c r="E46" i="3"/>
  <c r="C88" i="3"/>
  <c r="D104" i="3" l="1"/>
  <c r="W88" i="3"/>
  <c r="M88" i="3"/>
  <c r="U88" i="3"/>
  <c r="Q88" i="3"/>
  <c r="W64" i="3"/>
  <c r="S64" i="3"/>
  <c r="Q64" i="3"/>
  <c r="U64" i="3"/>
  <c r="M64" i="3"/>
  <c r="O64" i="3"/>
  <c r="D86" i="3"/>
  <c r="D103" i="3"/>
  <c r="D84" i="3"/>
  <c r="D77" i="3"/>
  <c r="D52" i="3"/>
  <c r="D62" i="3"/>
  <c r="E54" i="3"/>
  <c r="AA54" i="3" s="1"/>
  <c r="AC54" i="3" s="1"/>
  <c r="K46" i="3"/>
  <c r="AA46" i="3" s="1"/>
  <c r="AC46" i="3" s="1"/>
  <c r="D93" i="3"/>
  <c r="D69" i="3"/>
  <c r="D92" i="3"/>
  <c r="D74" i="3"/>
  <c r="D99" i="3"/>
  <c r="D71" i="3"/>
  <c r="D101" i="3"/>
  <c r="D96" i="3"/>
  <c r="D97" i="3"/>
  <c r="D98" i="3"/>
  <c r="D70" i="3"/>
  <c r="D94" i="3"/>
  <c r="D100" i="3"/>
  <c r="D95" i="3"/>
  <c r="D83" i="3"/>
  <c r="D67" i="3"/>
  <c r="D85" i="3"/>
  <c r="D75" i="3"/>
  <c r="D102" i="3"/>
  <c r="D80" i="3"/>
  <c r="D78" i="3"/>
  <c r="D79" i="3"/>
  <c r="D68" i="3"/>
  <c r="D87" i="3"/>
  <c r="D91" i="3"/>
  <c r="D81" i="3"/>
  <c r="D90" i="3"/>
  <c r="D82" i="3"/>
  <c r="D105" i="3"/>
  <c r="D66" i="3"/>
  <c r="D73" i="3"/>
  <c r="D106" i="3"/>
  <c r="D76" i="3"/>
  <c r="D72" i="3"/>
  <c r="D60" i="3"/>
  <c r="D46" i="3"/>
  <c r="D55" i="3"/>
  <c r="D54" i="3"/>
  <c r="D61" i="3"/>
  <c r="D57" i="3"/>
  <c r="D58" i="3"/>
  <c r="D47" i="3"/>
  <c r="D49" i="3"/>
  <c r="D63" i="3"/>
  <c r="D59" i="3"/>
  <c r="D50" i="3"/>
  <c r="D51" i="3"/>
  <c r="D48" i="3"/>
  <c r="D53" i="3"/>
  <c r="D56" i="3"/>
  <c r="AA88" i="3" l="1"/>
  <c r="AC88" i="3" s="1"/>
  <c r="AA64" i="3"/>
  <c r="AC64" i="3" s="1"/>
  <c r="E42" i="3"/>
  <c r="K42" i="3"/>
  <c r="E32" i="3"/>
  <c r="AA32" i="3" s="1"/>
  <c r="AC32" i="3" s="1"/>
  <c r="E43" i="3"/>
  <c r="K43" i="3"/>
  <c r="E34" i="3"/>
  <c r="AA34" i="3" s="1"/>
  <c r="AC34" i="3" s="1"/>
  <c r="AA43" i="3" l="1"/>
  <c r="AC43" i="3" s="1"/>
  <c r="AA42" i="3"/>
  <c r="AC42" i="3" s="1"/>
  <c r="E28" i="3"/>
  <c r="AA28" i="3" s="1"/>
  <c r="AC28" i="3" s="1"/>
  <c r="E30" i="3"/>
  <c r="AA30" i="3" s="1"/>
  <c r="AC30" i="3" s="1"/>
  <c r="E36" i="3"/>
  <c r="AA36" i="3" s="1"/>
  <c r="AC36" i="3" s="1"/>
  <c r="E37" i="3"/>
  <c r="AA37" i="3" s="1"/>
  <c r="AC37" i="3" s="1"/>
  <c r="E35" i="3" l="1"/>
  <c r="AA35" i="3" s="1"/>
  <c r="AC35" i="3" s="1"/>
  <c r="E29" i="3"/>
  <c r="AA29" i="3" s="1"/>
  <c r="AC29" i="3" s="1"/>
  <c r="G27" i="3"/>
  <c r="E27" i="3"/>
  <c r="E40" i="3"/>
  <c r="K40" i="3"/>
  <c r="AA27" i="3" l="1"/>
  <c r="AC27" i="3" s="1"/>
  <c r="AA40" i="3"/>
  <c r="AC40" i="3" s="1"/>
  <c r="E23" i="3"/>
  <c r="G23" i="3"/>
  <c r="E13" i="3"/>
  <c r="AA13" i="3" s="1"/>
  <c r="AC13" i="3" s="1"/>
  <c r="G24" i="3"/>
  <c r="E24" i="3"/>
  <c r="E15" i="3"/>
  <c r="AA15" i="3" s="1"/>
  <c r="AC15" i="3" s="1"/>
  <c r="C44" i="3"/>
  <c r="AA24" i="3" l="1"/>
  <c r="AC24" i="3" s="1"/>
  <c r="AA23" i="3"/>
  <c r="AC23" i="3" s="1"/>
  <c r="D39" i="3"/>
  <c r="W44" i="3"/>
  <c r="O44" i="3"/>
  <c r="U44" i="3"/>
  <c r="S44" i="3"/>
  <c r="M44" i="3"/>
  <c r="Q44" i="3"/>
  <c r="D33" i="3"/>
  <c r="D41" i="3"/>
  <c r="E11" i="3"/>
  <c r="AA11" i="3" s="1"/>
  <c r="AC11" i="3" s="1"/>
  <c r="E10" i="3"/>
  <c r="AA10" i="3" s="1"/>
  <c r="AC10" i="3" s="1"/>
  <c r="E17" i="3"/>
  <c r="AA17" i="3" s="1"/>
  <c r="AC17" i="3" s="1"/>
  <c r="E9" i="3"/>
  <c r="AA9" i="3" s="1"/>
  <c r="AC9" i="3" s="1"/>
  <c r="D34" i="3"/>
  <c r="D36" i="3"/>
  <c r="D30" i="3"/>
  <c r="D42" i="3"/>
  <c r="D43" i="3"/>
  <c r="D31" i="3"/>
  <c r="D40" i="3"/>
  <c r="D27" i="3"/>
  <c r="D29" i="3"/>
  <c r="D38" i="3"/>
  <c r="D28" i="3"/>
  <c r="D32" i="3"/>
  <c r="D35" i="3"/>
  <c r="D37" i="3"/>
  <c r="E18" i="3"/>
  <c r="AA18" i="3" s="1"/>
  <c r="AC18" i="3" s="1"/>
  <c r="AA44" i="3" l="1"/>
  <c r="AC44" i="3" s="1"/>
  <c r="G20" i="3"/>
  <c r="E20" i="3"/>
  <c r="E16" i="3"/>
  <c r="AA16" i="3" s="1"/>
  <c r="AC16" i="3" s="1"/>
  <c r="E8" i="3"/>
  <c r="AA8" i="3" s="1"/>
  <c r="AC8" i="3" s="1"/>
  <c r="G19" i="3"/>
  <c r="AA19" i="3" s="1"/>
  <c r="AC19" i="3" s="1"/>
  <c r="AA20" i="3" l="1"/>
  <c r="AC20" i="3" s="1"/>
  <c r="C25" i="3"/>
  <c r="C108" i="3" l="1"/>
  <c r="D25" i="3"/>
  <c r="D22" i="3"/>
  <c r="W25" i="3"/>
  <c r="U25" i="3"/>
  <c r="Q25" i="3"/>
  <c r="O25" i="3"/>
  <c r="K25" i="3"/>
  <c r="M25" i="3"/>
  <c r="I25" i="3"/>
  <c r="S25" i="3"/>
  <c r="D14" i="3"/>
  <c r="D21" i="3"/>
  <c r="D23" i="3"/>
  <c r="D10" i="3"/>
  <c r="D12" i="3"/>
  <c r="D15" i="3"/>
  <c r="D16" i="3"/>
  <c r="D11" i="3"/>
  <c r="D13" i="3"/>
  <c r="D24" i="3"/>
  <c r="D19" i="3"/>
  <c r="D17" i="3"/>
  <c r="D20" i="3"/>
  <c r="D9" i="3"/>
  <c r="D8" i="3"/>
  <c r="D18" i="3"/>
  <c r="AA25" i="3" l="1"/>
  <c r="AC25" i="3" s="1"/>
  <c r="F13" i="7" l="1"/>
  <c r="F9" i="7"/>
  <c r="F8" i="7"/>
  <c r="F7" i="7"/>
  <c r="F6" i="7"/>
  <c r="F5" i="7"/>
  <c r="F4" i="7"/>
  <c r="I11" i="7" l="1"/>
  <c r="B28" i="7" s="1"/>
  <c r="E28" i="7"/>
  <c r="D4" i="3" l="1"/>
  <c r="G109" i="3" l="1"/>
  <c r="I109" i="3"/>
  <c r="K109" i="3"/>
  <c r="O109" i="3" l="1"/>
  <c r="P109" i="3" s="1"/>
  <c r="M109" i="3"/>
  <c r="N109" i="3" s="1"/>
  <c r="E109" i="3"/>
  <c r="F109" i="3" s="1"/>
  <c r="D107" i="3"/>
  <c r="D64" i="3"/>
  <c r="D88" i="3"/>
  <c r="D44" i="3"/>
  <c r="J109" i="3"/>
  <c r="H109" i="3"/>
  <c r="L109" i="3"/>
  <c r="Q109" i="3"/>
  <c r="U109" i="3"/>
  <c r="V109" i="3" s="1"/>
  <c r="D108" i="3" l="1"/>
  <c r="AA107" i="3"/>
  <c r="E110" i="3"/>
  <c r="G110" i="3" s="1"/>
  <c r="I110" i="3" s="1"/>
  <c r="K110" i="3" s="1"/>
  <c r="M110" i="3" s="1"/>
  <c r="O110" i="3" s="1"/>
  <c r="Q110" i="3" s="1"/>
  <c r="S109" i="3"/>
  <c r="T109" i="3" s="1"/>
  <c r="W109" i="3"/>
  <c r="X109" i="3" s="1"/>
  <c r="Y109" i="3"/>
  <c r="Z109" i="3" s="1"/>
  <c r="R109" i="3"/>
  <c r="F110" i="3"/>
  <c r="H110" i="3" l="1"/>
  <c r="S110" i="3"/>
  <c r="U110" i="3" s="1"/>
  <c r="W110" i="3" s="1"/>
  <c r="Y110" i="3" s="1"/>
  <c r="J110" i="3" l="1"/>
  <c r="L110" i="3" s="1"/>
  <c r="N110" i="3" s="1"/>
  <c r="P110" i="3" s="1"/>
  <c r="R110" i="3" s="1"/>
  <c r="T110" i="3" s="1"/>
  <c r="V110" i="3" s="1"/>
  <c r="X110" i="3" s="1"/>
  <c r="Z110" i="3" s="1"/>
</calcChain>
</file>

<file path=xl/sharedStrings.xml><?xml version="1.0" encoding="utf-8"?>
<sst xmlns="http://schemas.openxmlformats.org/spreadsheetml/2006/main" count="840" uniqueCount="269">
  <si>
    <t>ITEM</t>
  </si>
  <si>
    <t>DISCRIMINAÇÃO DOS SERVIÇOS</t>
  </si>
  <si>
    <t>QUANT</t>
  </si>
  <si>
    <t xml:space="preserve">PROJETO : </t>
  </si>
  <si>
    <t>1.1</t>
  </si>
  <si>
    <t>TOTAL DO ITEM</t>
  </si>
  <si>
    <t>m²</t>
  </si>
  <si>
    <t>m³</t>
  </si>
  <si>
    <t>UNID</t>
  </si>
  <si>
    <t>TOTAL GERAL</t>
  </si>
  <si>
    <t>3.1</t>
  </si>
  <si>
    <t>3.2</t>
  </si>
  <si>
    <t>3.4</t>
  </si>
  <si>
    <t>PAVIMENTAÇÃO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</si>
  <si>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</si>
  <si>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</si>
  <si>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</si>
  <si>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</si>
  <si>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</si>
  <si>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3.3</t>
  </si>
  <si>
    <t>BDI</t>
  </si>
  <si>
    <t>CUSTO UNIT</t>
  </si>
  <si>
    <t>74209/001</t>
  </si>
  <si>
    <t>CÓDIGO</t>
  </si>
  <si>
    <t>TABELA</t>
  </si>
  <si>
    <t>SINAPI</t>
  </si>
  <si>
    <t>*1</t>
  </si>
  <si>
    <t>*2</t>
  </si>
  <si>
    <t>CRONOGRAMA FÍSICO-FINANCEIRO</t>
  </si>
  <si>
    <t>ETAPAS</t>
  </si>
  <si>
    <t>VALOR</t>
  </si>
  <si>
    <t>%</t>
  </si>
  <si>
    <t>60 DIAS</t>
  </si>
  <si>
    <t>90 DIAS</t>
  </si>
  <si>
    <t>TOTAL</t>
  </si>
  <si>
    <t>R$ Total</t>
  </si>
  <si>
    <t>R$</t>
  </si>
  <si>
    <t>VALOR TOTAL</t>
  </si>
  <si>
    <t>VALOR ACUM. PARCIAL</t>
  </si>
  <si>
    <t>VALOR ACUM. GLOBAL</t>
  </si>
  <si>
    <t>Pintura de ligação RR - 2C</t>
  </si>
  <si>
    <t>SINALIZAÇÃO</t>
  </si>
  <si>
    <t>SICRO</t>
  </si>
  <si>
    <t>Transporte de C.B.U.Q</t>
  </si>
  <si>
    <t>DATA DA COTAÇÃO: 08/12/2014</t>
  </si>
  <si>
    <t xml:space="preserve">LOCAL: </t>
  </si>
  <si>
    <t>RUA SETE DE SETEMBRO (TRECHO ENTRE RUA JULIUS JACOBSEN E RUA MANAUS) - TIMBÓ - SC</t>
  </si>
  <si>
    <t>m³xkm</t>
  </si>
  <si>
    <t>Placa de Obra, conforme padrão da Caixa (tamanho mínimo 2,00mx1,25m)</t>
  </si>
  <si>
    <t>chp</t>
  </si>
  <si>
    <t>1.3</t>
  </si>
  <si>
    <t>2.1</t>
  </si>
  <si>
    <t>COMP.</t>
  </si>
  <si>
    <t>COMPOSIÇÃO DE PREÇO UNITÁRIA</t>
  </si>
  <si>
    <r>
      <rPr>
        <b/>
        <sz val="12"/>
        <color theme="1"/>
        <rFont val="Calibri"/>
        <family val="2"/>
        <scheme val="minor"/>
      </rPr>
      <t>Unidade:</t>
    </r>
    <r>
      <rPr>
        <sz val="12"/>
        <color theme="1"/>
        <rFont val="Calibri"/>
        <family val="2"/>
        <scheme val="minor"/>
      </rPr>
      <t xml:space="preserve">       m</t>
    </r>
  </si>
  <si>
    <t>TIPO</t>
  </si>
  <si>
    <t>DESCRIÇÃO</t>
  </si>
  <si>
    <t>QUANT.</t>
  </si>
  <si>
    <t>CUSTO</t>
  </si>
  <si>
    <t>CUSTO UNIT.</t>
  </si>
  <si>
    <t>m3</t>
  </si>
  <si>
    <t>REFERÊNCIA</t>
  </si>
  <si>
    <t>Escavação mecanizada de valas em material 1a cat., inclusive carga</t>
  </si>
  <si>
    <t>Transporte de material com caminhão basculante</t>
  </si>
  <si>
    <t>txkm</t>
  </si>
  <si>
    <t>Sub-base de macadame hidráulico com brita comercial</t>
  </si>
  <si>
    <t>Carga, manobra e descarga de materiais</t>
  </si>
  <si>
    <t>t</t>
  </si>
  <si>
    <t>Regularização e compactação de reforço de subleito em solo estabilizado sem mistura com compactação a 100% proctor normal</t>
  </si>
  <si>
    <t>PREÇO UNITÁRIO ADOTADO (SEM BDI) /m²</t>
  </si>
  <si>
    <t>Pintura a frio (vagas de estacionamento)</t>
  </si>
  <si>
    <t>Pintura a quente (eixo da via e faixas e setas)</t>
  </si>
  <si>
    <t>Calculo do BDI</t>
  </si>
  <si>
    <t>Item componente do BDI</t>
  </si>
  <si>
    <t>1 Quartil (%)</t>
  </si>
  <si>
    <t>Médio (%)</t>
  </si>
  <si>
    <t>3 Quartil (%)</t>
  </si>
  <si>
    <t>Valor Adotado</t>
  </si>
  <si>
    <t>Administração Central</t>
  </si>
  <si>
    <t>Seguro e Garantia</t>
  </si>
  <si>
    <t>Risco</t>
  </si>
  <si>
    <t>Despesas Financeiras</t>
  </si>
  <si>
    <t>Lucro</t>
  </si>
  <si>
    <t>Tributos</t>
  </si>
  <si>
    <t>PIS</t>
  </si>
  <si>
    <t>COFINS</t>
  </si>
  <si>
    <t>ISS</t>
  </si>
  <si>
    <t>CPRB</t>
  </si>
  <si>
    <t>AC = taxa de Administração Central</t>
  </si>
  <si>
    <t>S = taxa de seguro</t>
  </si>
  <si>
    <t xml:space="preserve">R = taxa de risco </t>
  </si>
  <si>
    <t>G = taxa de garantia</t>
  </si>
  <si>
    <t>DF = taxa de despesas financeiras</t>
  </si>
  <si>
    <t>L = taxa lucro/renumeração</t>
  </si>
  <si>
    <t>I = taxa de tributos</t>
  </si>
  <si>
    <t>DRENAGEM</t>
  </si>
  <si>
    <t>unid</t>
  </si>
  <si>
    <t>4.1</t>
  </si>
  <si>
    <t>4.2</t>
  </si>
  <si>
    <t>Alvenaria em tijolo cerâmico maciço 5x10x20cm 1/2 vez (espessura 10cm)</t>
  </si>
  <si>
    <t>Emboço ou massa única em argamassa traço 1:2:8, preparo mecânico com btetoneira 400 l, aplicada manualmente em panos de fachada com presença de vãos, espessura de 25 mm</t>
  </si>
  <si>
    <t>Área = (0,5+0,8+0,8)*0,1</t>
  </si>
  <si>
    <t>PREÇO UNITÁRIO ADOTADO (SEM BDI) /unid.</t>
  </si>
  <si>
    <t>Tachão bidirecional</t>
  </si>
  <si>
    <t>Tachão monodirecional</t>
  </si>
  <si>
    <t>Tacha bidirecional</t>
  </si>
  <si>
    <t>Tacha monodirecional</t>
  </si>
  <si>
    <t>4.3</t>
  </si>
  <si>
    <t>4.4</t>
  </si>
  <si>
    <t>DATA: NOVEMBRO/2017</t>
  </si>
  <si>
    <t>Recuperação de camadas abaixo do pavimentação existente</t>
  </si>
  <si>
    <t>Recuperação de camadas abaixo do pavimento existente *2</t>
  </si>
  <si>
    <t>Alteamento das caixas de captação existente</t>
  </si>
  <si>
    <t>Alteamento das caixas de captação existente *1</t>
  </si>
  <si>
    <t>Caminhão pipa 10.000 l trucado, peso bruto total 23.000 kg, carga útil máxima 15.935 kg, distância entre eixos 4,8 m, potência 230 cv, inclusive tanque de aço para transporte de água (lavar paralelipípedo)</t>
  </si>
  <si>
    <t>AV.NEREU RAMOS POSTO PÉROLA ATÉ RUA HONDURAS - TIMBÓ - SC</t>
  </si>
  <si>
    <t>RUA MARECHAL DEODORO DESDE RUA HONDURAS ATÉ RUA MÔNACO - TIMBÓ - SC</t>
  </si>
  <si>
    <t>RUA BELÉM (TRECHO ENTRE RUA CAMPINAS E RUA SÃO PAULO) - TIMBÓ - SC</t>
  </si>
  <si>
    <t>Pintura a frio (ciclovia)</t>
  </si>
  <si>
    <t>RUA ARISTILIANO RAMOS (TRECHO ENTRE 165M ANTES DA RUA TIROLESES ATÉ  RUA CAMPINAS) - TIMBÓ - SC</t>
  </si>
  <si>
    <t>RUA BOLÍVIA (TRECHO ENTRE BECO ARGENTINA E ENTRONCAMENTO RUA INDAIAL COM RUA BOLÍVIA) - TIMBÓ - SC</t>
  </si>
  <si>
    <t>1.4</t>
  </si>
  <si>
    <t>1.1.1</t>
  </si>
  <si>
    <t>1.1.2</t>
  </si>
  <si>
    <t>1.1.3</t>
  </si>
  <si>
    <t>1.2.1</t>
  </si>
  <si>
    <t>1.3.1</t>
  </si>
  <si>
    <t>1.3.3</t>
  </si>
  <si>
    <t>1.3.4</t>
  </si>
  <si>
    <t>1.3.5</t>
  </si>
  <si>
    <t>1.4.1</t>
  </si>
  <si>
    <t>1.4.2</t>
  </si>
  <si>
    <t>1.4.3</t>
  </si>
  <si>
    <t>1.4.4</t>
  </si>
  <si>
    <t>2.1.1</t>
  </si>
  <si>
    <t>2.1.2</t>
  </si>
  <si>
    <t>2.1.3</t>
  </si>
  <si>
    <t>2.2</t>
  </si>
  <si>
    <t>2.2.1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</si>
  <si>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</si>
  <si>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</si>
  <si>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</si>
  <si>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</si>
  <si>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</si>
  <si>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</si>
  <si>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</si>
  <si>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</si>
  <si>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</si>
  <si>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3.1.1</t>
  </si>
  <si>
    <t>3.1.2</t>
  </si>
  <si>
    <t>3.1.3</t>
  </si>
  <si>
    <t>3.2.1</t>
  </si>
  <si>
    <t>3.3.1</t>
  </si>
  <si>
    <t>3.3.2</t>
  </si>
  <si>
    <t>3.3.3</t>
  </si>
  <si>
    <t>3.3.4</t>
  </si>
  <si>
    <t>3.4.1</t>
  </si>
  <si>
    <t>3.4.2</t>
  </si>
  <si>
    <t>3.4.3</t>
  </si>
  <si>
    <t>4.1.1</t>
  </si>
  <si>
    <t>4.1.2</t>
  </si>
  <si>
    <t>4.1.3</t>
  </si>
  <si>
    <t>4.2.1</t>
  </si>
  <si>
    <t>4.3.1</t>
  </si>
  <si>
    <t>4.3.2</t>
  </si>
  <si>
    <t>4.3.3</t>
  </si>
  <si>
    <t>4.3.4</t>
  </si>
  <si>
    <t>4.4.1</t>
  </si>
  <si>
    <t>4.4.2</t>
  </si>
  <si>
    <t>4.4.3</t>
  </si>
  <si>
    <t>4.4.4</t>
  </si>
  <si>
    <t>4.4.5</t>
  </si>
  <si>
    <t>5.1</t>
  </si>
  <si>
    <t>5.1.1</t>
  </si>
  <si>
    <t>5.1.2</t>
  </si>
  <si>
    <t>5.1.3</t>
  </si>
  <si>
    <t>5.2</t>
  </si>
  <si>
    <t>5.2.1</t>
  </si>
  <si>
    <t>5.3</t>
  </si>
  <si>
    <t>5.3.1</t>
  </si>
  <si>
    <t>5.3.2</t>
  </si>
  <si>
    <t>5.3.3</t>
  </si>
  <si>
    <t>5.3.4</t>
  </si>
  <si>
    <t>5.3.5</t>
  </si>
  <si>
    <t>5.4</t>
  </si>
  <si>
    <t>5.4.1</t>
  </si>
  <si>
    <t>5.4.2</t>
  </si>
  <si>
    <t>5.4.3</t>
  </si>
  <si>
    <t>5.4.4</t>
  </si>
  <si>
    <t>5.4.5</t>
  </si>
  <si>
    <t>5.4.6</t>
  </si>
  <si>
    <t>6.1</t>
  </si>
  <si>
    <t>6.1.1</t>
  </si>
  <si>
    <t>6.1.2</t>
  </si>
  <si>
    <t>6.1.3</t>
  </si>
  <si>
    <t>6.2</t>
  </si>
  <si>
    <t>6.2.1</t>
  </si>
  <si>
    <t>6.3</t>
  </si>
  <si>
    <t>6.3.1</t>
  </si>
  <si>
    <t>6.3.2</t>
  </si>
  <si>
    <t>6.3.3</t>
  </si>
  <si>
    <t>6.3.4</t>
  </si>
  <si>
    <t>6.3.5</t>
  </si>
  <si>
    <t>6.4</t>
  </si>
  <si>
    <t>6.4.1</t>
  </si>
  <si>
    <t>6.4.2</t>
  </si>
  <si>
    <t>6.4.3</t>
  </si>
  <si>
    <t>TOTAL GERAL GLOBAL</t>
  </si>
  <si>
    <t>30 DIAS</t>
  </si>
  <si>
    <t>120 DIAS</t>
  </si>
  <si>
    <t>150 DIAS</t>
  </si>
  <si>
    <t>180 DIAS</t>
  </si>
  <si>
    <t>VALOR TOTAL GLOBAL</t>
  </si>
  <si>
    <t>210 DIAS</t>
  </si>
  <si>
    <t>240 DIAS</t>
  </si>
  <si>
    <t>270 DIAS</t>
  </si>
  <si>
    <t>300 DIAS</t>
  </si>
  <si>
    <t>330 DIAS</t>
  </si>
  <si>
    <t>RECAPEAMENTO ASFÁLTICO</t>
  </si>
  <si>
    <t xml:space="preserve">Base ou sub-base de brita graduada com brita comercial </t>
  </si>
  <si>
    <t>SINAPI - 01/2018    /  SICRO - 09/2017</t>
  </si>
  <si>
    <t>2.4.4</t>
  </si>
  <si>
    <t>2.4.5</t>
  </si>
  <si>
    <t>Segregador</t>
  </si>
  <si>
    <t>3.4.4</t>
  </si>
  <si>
    <t>3.4.5</t>
  </si>
  <si>
    <t>6.4.4</t>
  </si>
  <si>
    <t>6.4.5</t>
  </si>
  <si>
    <t>Pintura a frio (ciclovia e vagas de estacionamento)</t>
  </si>
  <si>
    <t>Fornecimento e implantação de Balizador metálico *3</t>
  </si>
  <si>
    <t>Tubo de aço galvanizado BSP classe leve - D = 100 mm</t>
  </si>
  <si>
    <t>M1618</t>
  </si>
  <si>
    <t>m</t>
  </si>
  <si>
    <t>Escavação manual</t>
  </si>
  <si>
    <t>Concreto com preparo mecânico</t>
  </si>
  <si>
    <t>hr</t>
  </si>
  <si>
    <t>74157/004</t>
  </si>
  <si>
    <t>lançamento e Aplicação de concreto</t>
  </si>
  <si>
    <t>Película refletiva</t>
  </si>
  <si>
    <t>Fornecimento e implantação de balizador metálico</t>
  </si>
  <si>
    <t>*3</t>
  </si>
  <si>
    <t>Execução de piso intertravado, bloco retangular 20x10 cm , esepessura 8 cm</t>
  </si>
  <si>
    <t>Servente com encargos complementáres</t>
  </si>
  <si>
    <t xml:space="preserve">Pintura esmalte 2 demãos em esquadria de ferro ou perfis metálicos com fundo em zarcão </t>
  </si>
  <si>
    <t>Execução de rampa em concreto armado *4</t>
  </si>
  <si>
    <t>Execução de passeio (calçada) ou piso de concreto moldado in loco, usinado, acabamento convencional, espessura 12 cm, armado</t>
  </si>
  <si>
    <t>0,12 x 1,00 x 1,00 = 0,12m³</t>
  </si>
  <si>
    <t>0,12m³ = R$ 71,00</t>
  </si>
  <si>
    <t>Execução de rampa em concreto armado</t>
  </si>
  <si>
    <t>1m³ = R$ 591,67</t>
  </si>
  <si>
    <t>5.3.6</t>
  </si>
  <si>
    <t>*4</t>
  </si>
  <si>
    <t>Fornecimento e implantação de segregador *5</t>
  </si>
  <si>
    <t>Tachão refletivo monodirecional - fornecimento e colocação</t>
  </si>
  <si>
    <t>M2085</t>
  </si>
  <si>
    <t>Tachão refletivo monodirecional</t>
  </si>
  <si>
    <t>COTAÇÂO</t>
  </si>
  <si>
    <t>Segregador não refeltivo branco</t>
  </si>
  <si>
    <t>Referencila de Preços SINAPI -JANEIRO/2018 sem desoneração, itens omissos na referida tabela foi adotado SICRO SETEMBRO/2017</t>
  </si>
  <si>
    <t>DATA: MARÇO/2018</t>
  </si>
  <si>
    <t xml:space="preserve">RECAPEAMENTO ASFÁLTICO </t>
  </si>
  <si>
    <t xml:space="preserve">RECAPEAMENTO ASFALTICO </t>
  </si>
  <si>
    <t>4.4.6</t>
  </si>
  <si>
    <t>5.4.7</t>
  </si>
  <si>
    <t>*5</t>
  </si>
  <si>
    <t>Camada de revestimento c/ C.B.U.Q., Faixa ''C'' , e = 7,5 cm "compactado"</t>
  </si>
  <si>
    <t>Camada de revestimento c/ C.B.U.Q., Faixa ''C'' , e = 5 cm "compactado"</t>
  </si>
  <si>
    <t>Camada de revestimento c/ C.B.U.Q., Faixa  ''C'' , e = 5 cm "compactado"</t>
  </si>
  <si>
    <t xml:space="preserve">QUANTITATIVO E ORÇAMENTO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</si>
</sst>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  <numFmt numFmtId="167" formatCode="&quot;R$&quot;\ #,##0.00"/>
    <numFmt numFmtId="169" formatCode="0.0000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name val="Swis721 Ex BT"/>
      <family val="2"/>
    </font>
    <font>
      <sz val="9"/>
      <name val="Swis721 Ex BT"/>
      <family val="2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10"/>
      <color rgb="FFFF0000"/>
      <name val="Arial"/>
      <family val="2"/>
    </font>
    <font>
      <sz val="13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5" fillId="4" borderId="0" xfId="0" applyFont="1" applyFill="1"/>
    <xf numFmtId="0" fontId="6" fillId="4" borderId="0" xfId="0" applyFont="1" applyFill="1"/>
    <xf numFmtId="0" fontId="2" fillId="0" borderId="0" xfId="0" applyFont="1" applyAlignment="1">
      <alignment horizontal="center"/>
    </xf>
    <xf numFmtId="0" fontId="10" fillId="0" borderId="0" xfId="0" applyFont="1"/>
    <xf numFmtId="0" fontId="4" fillId="2" borderId="5" xfId="0" applyFont="1" applyFill="1" applyBorder="1"/>
    <xf numFmtId="0" fontId="4" fillId="2" borderId="6" xfId="0" applyFont="1" applyFill="1" applyBorder="1" applyAlignment="1">
      <alignment vertical="justify"/>
    </xf>
    <xf numFmtId="0" fontId="4" fillId="2" borderId="6" xfId="0" applyFont="1" applyFill="1" applyBorder="1"/>
    <xf numFmtId="4" fontId="4" fillId="2" borderId="6" xfId="0" applyNumberFormat="1" applyFont="1" applyFill="1" applyBorder="1"/>
    <xf numFmtId="164" fontId="4" fillId="2" borderId="6" xfId="2" applyFont="1" applyFill="1" applyBorder="1"/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4" fillId="0" borderId="1" xfId="0" applyFont="1" applyBorder="1"/>
    <xf numFmtId="10" fontId="4" fillId="0" borderId="1" xfId="0" applyNumberFormat="1" applyFont="1" applyBorder="1"/>
    <xf numFmtId="4" fontId="4" fillId="0" borderId="1" xfId="0" applyNumberFormat="1" applyFont="1" applyBorder="1"/>
    <xf numFmtId="9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" fontId="8" fillId="0" borderId="1" xfId="0" applyNumberFormat="1" applyFont="1" applyBorder="1"/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justify"/>
    </xf>
    <xf numFmtId="0" fontId="1" fillId="4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0" fontId="7" fillId="0" borderId="4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 applyAlignment="1">
      <alignment vertical="justify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4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vertical="top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 vertical="top" wrapText="1"/>
    </xf>
    <xf numFmtId="0" fontId="8" fillId="0" borderId="4" xfId="0" applyFont="1" applyBorder="1"/>
    <xf numFmtId="0" fontId="8" fillId="0" borderId="1" xfId="0" applyFont="1" applyBorder="1" applyAlignment="1">
      <alignment vertical="justify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4" xfId="0" applyFont="1" applyFill="1" applyBorder="1"/>
    <xf numFmtId="0" fontId="3" fillId="0" borderId="0" xfId="0" applyFont="1" applyAlignment="1"/>
    <xf numFmtId="0" fontId="12" fillId="0" borderId="2" xfId="0" applyFont="1" applyBorder="1" applyAlignment="1">
      <alignment horizontal="center" vertical="top"/>
    </xf>
    <xf numFmtId="0" fontId="14" fillId="0" borderId="15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6" xfId="0" applyFont="1" applyBorder="1" applyAlignment="1">
      <alignment horizontal="center"/>
    </xf>
    <xf numFmtId="0" fontId="12" fillId="0" borderId="20" xfId="0" applyFont="1" applyBorder="1"/>
    <xf numFmtId="0" fontId="0" fillId="0" borderId="21" xfId="0" applyBorder="1"/>
    <xf numFmtId="166" fontId="18" fillId="6" borderId="1" xfId="5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5" applyFont="1" applyFill="1" applyBorder="1" applyAlignment="1">
      <alignment horizontal="center" vertical="center"/>
    </xf>
    <xf numFmtId="0" fontId="18" fillId="0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8" fillId="4" borderId="1" xfId="5" applyFont="1" applyFill="1" applyBorder="1" applyAlignment="1">
      <alignment horizontal="center" vertical="center"/>
    </xf>
    <xf numFmtId="0" fontId="0" fillId="0" borderId="23" xfId="0" applyBorder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24" xfId="0" applyBorder="1"/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4" fontId="20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" fontId="1" fillId="2" borderId="15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8" fillId="0" borderId="1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9" xfId="0" applyFont="1" applyBorder="1"/>
    <xf numFmtId="0" fontId="1" fillId="0" borderId="1" xfId="0" applyFont="1" applyBorder="1"/>
    <xf numFmtId="167" fontId="4" fillId="0" borderId="1" xfId="0" applyNumberFormat="1" applyFont="1" applyBorder="1"/>
    <xf numFmtId="167" fontId="0" fillId="0" borderId="1" xfId="0" applyNumberFormat="1" applyBorder="1"/>
    <xf numFmtId="167" fontId="0" fillId="0" borderId="0" xfId="0" applyNumberFormat="1"/>
    <xf numFmtId="167" fontId="4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right"/>
    </xf>
    <xf numFmtId="167" fontId="9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0" fontId="0" fillId="4" borderId="1" xfId="0" applyNumberFormat="1" applyFill="1" applyBorder="1"/>
    <xf numFmtId="0" fontId="4" fillId="7" borderId="1" xfId="0" applyFont="1" applyFill="1" applyBorder="1"/>
    <xf numFmtId="167" fontId="4" fillId="7" borderId="1" xfId="0" applyNumberFormat="1" applyFont="1" applyFill="1" applyBorder="1" applyAlignment="1">
      <alignment horizontal="right"/>
    </xf>
    <xf numFmtId="10" fontId="4" fillId="7" borderId="1" xfId="0" applyNumberFormat="1" applyFont="1" applyFill="1" applyBorder="1"/>
    <xf numFmtId="167" fontId="4" fillId="7" borderId="1" xfId="0" applyNumberFormat="1" applyFont="1" applyFill="1" applyBorder="1"/>
    <xf numFmtId="4" fontId="4" fillId="7" borderId="1" xfId="0" applyNumberFormat="1" applyFont="1" applyFill="1" applyBorder="1"/>
    <xf numFmtId="0" fontId="4" fillId="7" borderId="0" xfId="0" applyFont="1" applyFill="1"/>
    <xf numFmtId="0" fontId="1" fillId="4" borderId="1" xfId="0" applyFont="1" applyFill="1" applyBorder="1"/>
    <xf numFmtId="167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/>
    <xf numFmtId="167" fontId="1" fillId="4" borderId="1" xfId="0" applyNumberFormat="1" applyFont="1" applyFill="1" applyBorder="1"/>
    <xf numFmtId="4" fontId="1" fillId="4" borderId="1" xfId="0" applyNumberFormat="1" applyFont="1" applyFill="1" applyBorder="1"/>
    <xf numFmtId="0" fontId="1" fillId="4" borderId="0" xfId="0" applyFont="1" applyFill="1"/>
    <xf numFmtId="10" fontId="2" fillId="0" borderId="0" xfId="0" applyNumberFormat="1" applyFont="1" applyAlignment="1">
      <alignment horizontal="center"/>
    </xf>
    <xf numFmtId="4" fontId="21" fillId="0" borderId="0" xfId="0" applyNumberFormat="1" applyFont="1"/>
    <xf numFmtId="0" fontId="12" fillId="0" borderId="33" xfId="0" applyFont="1" applyBorder="1"/>
    <xf numFmtId="0" fontId="23" fillId="0" borderId="0" xfId="0" applyFont="1"/>
    <xf numFmtId="166" fontId="18" fillId="0" borderId="1" xfId="5" applyFont="1" applyFill="1" applyBorder="1" applyAlignment="1">
      <alignment horizontal="left" vertical="center" indent="2"/>
    </xf>
    <xf numFmtId="166" fontId="18" fillId="0" borderId="1" xfId="5" applyFont="1" applyFill="1" applyBorder="1" applyAlignment="1">
      <alignment horizontal="left" vertical="center" indent="4"/>
    </xf>
    <xf numFmtId="0" fontId="1" fillId="0" borderId="0" xfId="0" applyFont="1"/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vertic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29" xfId="0" applyFont="1" applyFill="1" applyBorder="1"/>
    <xf numFmtId="0" fontId="2" fillId="0" borderId="28" xfId="0" applyFont="1" applyFill="1" applyBorder="1" applyAlignment="1">
      <alignment horizontal="center"/>
    </xf>
    <xf numFmtId="0" fontId="24" fillId="0" borderId="29" xfId="0" applyFont="1" applyFill="1" applyBorder="1"/>
    <xf numFmtId="0" fontId="24" fillId="0" borderId="0" xfId="0" applyFont="1" applyFill="1"/>
    <xf numFmtId="4" fontId="24" fillId="0" borderId="0" xfId="0" applyNumberFormat="1" applyFont="1" applyFill="1"/>
    <xf numFmtId="0" fontId="25" fillId="0" borderId="0" xfId="0" applyFont="1" applyFill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2" fillId="0" borderId="0" xfId="0" applyFont="1" applyFill="1"/>
    <xf numFmtId="166" fontId="1" fillId="3" borderId="1" xfId="3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/>
    <xf numFmtId="43" fontId="2" fillId="0" borderId="0" xfId="0" applyNumberFormat="1" applyFont="1" applyAlignment="1">
      <alignment horizontal="center"/>
    </xf>
    <xf numFmtId="49" fontId="18" fillId="0" borderId="1" xfId="5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9" fontId="10" fillId="0" borderId="1" xfId="0" applyNumberFormat="1" applyFont="1" applyBorder="1"/>
    <xf numFmtId="167" fontId="1" fillId="7" borderId="1" xfId="0" applyNumberFormat="1" applyFont="1" applyFill="1" applyBorder="1"/>
    <xf numFmtId="167" fontId="0" fillId="7" borderId="1" xfId="0" applyNumberFormat="1" applyFill="1" applyBorder="1"/>
    <xf numFmtId="169" fontId="10" fillId="7" borderId="1" xfId="0" applyNumberFormat="1" applyFont="1" applyFill="1" applyBorder="1"/>
    <xf numFmtId="167" fontId="0" fillId="7" borderId="0" xfId="0" applyNumberFormat="1" applyFill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4" fillId="2" borderId="32" xfId="0" applyFont="1" applyFill="1" applyBorder="1" applyAlignment="1">
      <alignment horizontal="left" vertical="justify"/>
    </xf>
    <xf numFmtId="0" fontId="4" fillId="2" borderId="21" xfId="0" applyFont="1" applyFill="1" applyBorder="1" applyAlignment="1">
      <alignment horizontal="left" vertical="justify"/>
    </xf>
    <xf numFmtId="0" fontId="4" fillId="2" borderId="22" xfId="0" applyFont="1" applyFill="1" applyBorder="1" applyAlignment="1">
      <alignment horizontal="left" vertical="justify"/>
    </xf>
    <xf numFmtId="0" fontId="4" fillId="2" borderId="30" xfId="0" applyFont="1" applyFill="1" applyBorder="1" applyAlignment="1">
      <alignment horizontal="left" vertical="justify"/>
    </xf>
    <xf numFmtId="0" fontId="4" fillId="2" borderId="25" xfId="0" applyFont="1" applyFill="1" applyBorder="1" applyAlignment="1">
      <alignment horizontal="left" vertical="justify"/>
    </xf>
    <xf numFmtId="0" fontId="4" fillId="2" borderId="31" xfId="0" applyFont="1" applyFill="1" applyBorder="1" applyAlignment="1">
      <alignment horizontal="left" vertical="justify"/>
    </xf>
    <xf numFmtId="0" fontId="13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top"/>
    </xf>
    <xf numFmtId="0" fontId="12" fillId="0" borderId="13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16" fillId="0" borderId="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7" fontId="19" fillId="0" borderId="8" xfId="0" applyNumberFormat="1" applyFont="1" applyBorder="1" applyAlignment="1">
      <alignment horizontal="center"/>
    </xf>
    <xf numFmtId="167" fontId="19" fillId="0" borderId="18" xfId="0" applyNumberFormat="1" applyFont="1" applyBorder="1" applyAlignment="1">
      <alignment horizontal="center"/>
    </xf>
    <xf numFmtId="167" fontId="19" fillId="0" borderId="19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6">
    <cellStyle name="Euro" xfId="1"/>
    <cellStyle name="Moeda" xfId="2" builtinId="4"/>
    <cellStyle name="Normal" xfId="0" builtinId="0"/>
    <cellStyle name="Normal_Plan1" xfId="4"/>
    <cellStyle name="Vírgula" xfId="3" builtinId="3"/>
    <cellStyle name="Vírgula 3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19289</xdr:colOff>
      <xdr:row>59</xdr:row>
      <xdr:rowOff>85486</xdr:rowOff>
    </xdr:from>
    <xdr:to>
      <xdr:col>5</xdr:col>
      <xdr:colOff>142636</xdr:colOff>
      <xdr:row>121</xdr:row>
      <xdr:rowOff>104536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1543050" y="15049500"/>
          <a:ext cx="10058400" cy="6933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14</xdr:row>
          <xdr:rowOff>171450</xdr:rowOff>
        </xdr:from>
        <xdr:to>
          <xdr:col>3</xdr:col>
          <xdr:colOff>485775</xdr:colOff>
          <xdr:row>18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showGridLines="0" tabSelected="1" view="pageBreakPreview" topLeftCell="A142" zoomScaleSheetLayoutView="100" workbookViewId="0">
      <selection activeCell="N34" sqref="N34"/>
    </sheetView>
  </sheetViews>
  <sheetFormatPr defaultRowHeight="12.75" x14ac:dyDescent="0.2"/>
  <cols>
    <col min="2" max="2" width="72.140625" style="5" customWidth="1"/>
    <col min="4" max="4" width="10.85546875" style="3" customWidth="1"/>
    <col min="5" max="5" width="11.85546875" style="3" bestFit="1" customWidth="1"/>
    <col min="6" max="6" width="12.7109375" style="3" bestFit="1" customWidth="1"/>
    <col min="7" max="7" width="22.7109375" style="3" bestFit="1" customWidth="1"/>
    <col min="8" max="8" width="8.140625" style="16" bestFit="1" customWidth="1"/>
    <col min="9" max="9" width="11.28515625" style="16" customWidth="1"/>
  </cols>
  <sheetData>
    <row r="1" spans="1:9" ht="15.75" x14ac:dyDescent="0.25">
      <c r="A1" s="181" t="s">
        <v>268</v>
      </c>
      <c r="B1" s="181"/>
      <c r="C1" s="181"/>
      <c r="D1" s="181"/>
      <c r="E1" s="181"/>
      <c r="F1" s="181"/>
      <c r="G1" s="181"/>
      <c r="H1" s="181"/>
      <c r="I1" s="181"/>
    </row>
    <row r="2" spans="1:9" hidden="1" x14ac:dyDescent="0.2">
      <c r="A2" s="9" t="s">
        <v>3</v>
      </c>
      <c r="B2" s="10" t="s">
        <v>260</v>
      </c>
      <c r="C2" s="9"/>
      <c r="D2" s="11"/>
      <c r="E2" s="11"/>
      <c r="F2" s="11"/>
      <c r="G2" s="11"/>
    </row>
    <row r="3" spans="1:9" ht="16.5" hidden="1" customHeight="1" x14ac:dyDescent="0.2">
      <c r="A3" s="9" t="s">
        <v>45</v>
      </c>
      <c r="B3" s="79" t="s">
        <v>46</v>
      </c>
      <c r="C3" s="9"/>
      <c r="D3" s="11" t="s">
        <v>259</v>
      </c>
      <c r="E3" s="11"/>
      <c r="F3" s="13" t="s">
        <v>20</v>
      </c>
      <c r="G3" s="12">
        <v>0.22</v>
      </c>
    </row>
    <row r="4" spans="1:9" s="162" customFormat="1" hidden="1" x14ac:dyDescent="0.2">
      <c r="A4" s="158"/>
      <c r="B4" s="159"/>
      <c r="C4" s="158"/>
      <c r="D4" s="160"/>
      <c r="E4" s="160"/>
      <c r="F4" s="160"/>
      <c r="G4" s="160"/>
      <c r="H4" s="161"/>
      <c r="I4" s="161"/>
    </row>
    <row r="5" spans="1:9" s="39" customFormat="1" ht="18" hidden="1" customHeight="1" x14ac:dyDescent="0.2">
      <c r="A5" s="54" t="s">
        <v>0</v>
      </c>
      <c r="B5" s="55" t="s">
        <v>1</v>
      </c>
      <c r="C5" s="55" t="s">
        <v>8</v>
      </c>
      <c r="D5" s="56" t="s">
        <v>2</v>
      </c>
      <c r="E5" s="56" t="s">
        <v>21</v>
      </c>
      <c r="F5" s="56" t="s">
        <v>14</v>
      </c>
      <c r="G5" s="56" t="s">
        <v>16</v>
      </c>
      <c r="H5" s="56" t="s">
        <v>24</v>
      </c>
      <c r="I5" s="111" t="s">
        <v>23</v>
      </c>
    </row>
    <row r="6" spans="1:9" s="14" customFormat="1" hidden="1" x14ac:dyDescent="0.2">
      <c r="A6" s="57" t="s">
        <v>4</v>
      </c>
      <c r="B6" s="58" t="s">
        <v>17</v>
      </c>
      <c r="C6" s="59"/>
      <c r="D6" s="60"/>
      <c r="E6" s="60"/>
      <c r="F6" s="60"/>
      <c r="G6" s="60"/>
      <c r="H6" s="61"/>
      <c r="I6" s="112"/>
    </row>
    <row r="7" spans="1:9" ht="14.25" hidden="1" customHeight="1" x14ac:dyDescent="0.2">
      <c r="A7" s="43" t="s">
        <v>122</v>
      </c>
      <c r="B7" s="42" t="s">
        <v>48</v>
      </c>
      <c r="C7" s="44" t="s">
        <v>6</v>
      </c>
      <c r="D7" s="45">
        <f>2*1.25</f>
        <v>2.5</v>
      </c>
      <c r="E7" s="46">
        <v>302.64</v>
      </c>
      <c r="F7" s="46">
        <f>ROUND(E7*(1+$G$3),2)</f>
        <v>369.22</v>
      </c>
      <c r="G7" s="46">
        <f>ROUND(D7*F7,2)</f>
        <v>923.05</v>
      </c>
      <c r="H7" s="47" t="s">
        <v>25</v>
      </c>
      <c r="I7" s="113" t="s">
        <v>22</v>
      </c>
    </row>
    <row r="8" spans="1:9" ht="25.5" hidden="1" x14ac:dyDescent="0.2">
      <c r="A8" s="43" t="s">
        <v>123</v>
      </c>
      <c r="B8" s="42" t="s">
        <v>18</v>
      </c>
      <c r="C8" s="44" t="s">
        <v>6</v>
      </c>
      <c r="D8" s="45">
        <f>121.82+108.49+1723.11+100.02+3731</f>
        <v>5784.4400000000005</v>
      </c>
      <c r="E8" s="46">
        <v>0.34</v>
      </c>
      <c r="F8" s="46">
        <f>ROUND(E8*(1+$G$3),2)</f>
        <v>0.41</v>
      </c>
      <c r="G8" s="46">
        <f t="shared" ref="G8:G9" si="0">ROUND(D8*F8,2)</f>
        <v>2371.62</v>
      </c>
      <c r="H8" s="47" t="s">
        <v>25</v>
      </c>
      <c r="I8" s="113">
        <v>78472</v>
      </c>
    </row>
    <row r="9" spans="1:9" ht="38.25" hidden="1" x14ac:dyDescent="0.2">
      <c r="A9" s="43" t="s">
        <v>124</v>
      </c>
      <c r="B9" s="42" t="s">
        <v>114</v>
      </c>
      <c r="C9" s="44" t="s">
        <v>49</v>
      </c>
      <c r="D9" s="45">
        <f>ROUND((((545.1*6*2)/1000))/5,2)</f>
        <v>1.31</v>
      </c>
      <c r="E9" s="46">
        <v>150.41</v>
      </c>
      <c r="F9" s="46">
        <f>ROUND(E9*(1+$G$3),2)</f>
        <v>183.5</v>
      </c>
      <c r="G9" s="46">
        <f t="shared" si="0"/>
        <v>240.39</v>
      </c>
      <c r="H9" s="47" t="s">
        <v>25</v>
      </c>
      <c r="I9" s="113">
        <v>5901</v>
      </c>
    </row>
    <row r="10" spans="1:9" s="7" customFormat="1" hidden="1" x14ac:dyDescent="0.2">
      <c r="A10" s="50"/>
      <c r="B10" s="51" t="s">
        <v>5</v>
      </c>
      <c r="C10" s="52"/>
      <c r="D10" s="30"/>
      <c r="E10" s="38"/>
      <c r="F10" s="38"/>
      <c r="G10" s="38">
        <f>SUM(G7:G9)</f>
        <v>3535.06</v>
      </c>
      <c r="H10" s="53"/>
      <c r="I10" s="114"/>
    </row>
    <row r="11" spans="1:9" s="15" customFormat="1" hidden="1" x14ac:dyDescent="0.2">
      <c r="A11" s="57" t="s">
        <v>15</v>
      </c>
      <c r="B11" s="58" t="s">
        <v>95</v>
      </c>
      <c r="C11" s="62"/>
      <c r="D11" s="63"/>
      <c r="E11" s="63"/>
      <c r="F11" s="63"/>
      <c r="G11" s="63"/>
      <c r="H11" s="64"/>
      <c r="I11" s="115"/>
    </row>
    <row r="12" spans="1:9" hidden="1" x14ac:dyDescent="0.2">
      <c r="A12" s="78" t="s">
        <v>125</v>
      </c>
      <c r="B12" s="41" t="s">
        <v>112</v>
      </c>
      <c r="C12" s="44" t="s">
        <v>96</v>
      </c>
      <c r="D12" s="45">
        <v>22</v>
      </c>
      <c r="E12" s="46">
        <f>Composições!E7</f>
        <v>22.104599999999998</v>
      </c>
      <c r="F12" s="49">
        <f t="shared" ref="F12" si="1">ROUND(E12*(1+$G$3),2)</f>
        <v>26.97</v>
      </c>
      <c r="G12" s="49">
        <f t="shared" ref="G12" si="2">ROUND(D12*F12,2)</f>
        <v>593.34</v>
      </c>
      <c r="H12" s="47" t="s">
        <v>52</v>
      </c>
      <c r="I12" s="113" t="s">
        <v>26</v>
      </c>
    </row>
    <row r="13" spans="1:9" s="7" customFormat="1" hidden="1" x14ac:dyDescent="0.2">
      <c r="A13" s="50"/>
      <c r="B13" s="51" t="s">
        <v>5</v>
      </c>
      <c r="C13" s="52"/>
      <c r="D13" s="30"/>
      <c r="E13" s="38"/>
      <c r="F13" s="48"/>
      <c r="G13" s="38">
        <f>SUM(G12:G12)</f>
        <v>593.34</v>
      </c>
      <c r="H13" s="53"/>
      <c r="I13" s="114"/>
    </row>
    <row r="14" spans="1:9" s="15" customFormat="1" hidden="1" x14ac:dyDescent="0.2">
      <c r="A14" s="57" t="s">
        <v>50</v>
      </c>
      <c r="B14" s="58" t="s">
        <v>13</v>
      </c>
      <c r="C14" s="62"/>
      <c r="D14" s="63"/>
      <c r="E14" s="63"/>
      <c r="F14" s="63"/>
      <c r="G14" s="63"/>
      <c r="H14" s="64"/>
      <c r="I14" s="115"/>
    </row>
    <row r="15" spans="1:9" hidden="1" x14ac:dyDescent="0.2">
      <c r="A15" s="78" t="s">
        <v>126</v>
      </c>
      <c r="B15" s="41" t="s">
        <v>110</v>
      </c>
      <c r="C15" s="44" t="s">
        <v>6</v>
      </c>
      <c r="D15" s="45">
        <v>125.3</v>
      </c>
      <c r="E15" s="46">
        <f>Composições!E19</f>
        <v>64.261499999999998</v>
      </c>
      <c r="F15" s="49">
        <f t="shared" ref="F15:F18" si="3">ROUND(E15*(1+$G$3),2)</f>
        <v>78.400000000000006</v>
      </c>
      <c r="G15" s="49">
        <f t="shared" ref="G15:G18" si="4">ROUND(D15*F15,2)</f>
        <v>9823.52</v>
      </c>
      <c r="H15" s="47" t="s">
        <v>52</v>
      </c>
      <c r="I15" s="113" t="s">
        <v>27</v>
      </c>
    </row>
    <row r="16" spans="1:9" hidden="1" x14ac:dyDescent="0.2">
      <c r="A16" s="78" t="s">
        <v>127</v>
      </c>
      <c r="B16" s="41" t="s">
        <v>40</v>
      </c>
      <c r="C16" s="44" t="s">
        <v>6</v>
      </c>
      <c r="D16" s="45">
        <f>2*D8</f>
        <v>11568.880000000001</v>
      </c>
      <c r="E16" s="46">
        <v>1.3</v>
      </c>
      <c r="F16" s="49">
        <f t="shared" si="3"/>
        <v>1.59</v>
      </c>
      <c r="G16" s="49">
        <f t="shared" si="4"/>
        <v>18394.52</v>
      </c>
      <c r="H16" s="47" t="s">
        <v>25</v>
      </c>
      <c r="I16" s="113">
        <v>72943</v>
      </c>
    </row>
    <row r="17" spans="1:9" hidden="1" x14ac:dyDescent="0.2">
      <c r="A17" s="78" t="s">
        <v>128</v>
      </c>
      <c r="B17" s="41" t="s">
        <v>267</v>
      </c>
      <c r="C17" s="44" t="s">
        <v>7</v>
      </c>
      <c r="D17" s="45">
        <v>578.44000000000005</v>
      </c>
      <c r="E17" s="46">
        <v>690.21</v>
      </c>
      <c r="F17" s="49">
        <f t="shared" si="3"/>
        <v>842.06</v>
      </c>
      <c r="G17" s="49">
        <f>ROUND(D17*F17,2)</f>
        <v>487081.19</v>
      </c>
      <c r="H17" s="47" t="s">
        <v>25</v>
      </c>
      <c r="I17" s="113">
        <v>95995</v>
      </c>
    </row>
    <row r="18" spans="1:9" hidden="1" x14ac:dyDescent="0.2">
      <c r="A18" s="78" t="s">
        <v>129</v>
      </c>
      <c r="B18" s="41" t="s">
        <v>43</v>
      </c>
      <c r="C18" s="44" t="s">
        <v>47</v>
      </c>
      <c r="D18" s="45">
        <f>ROUND((D17)*26,2)</f>
        <v>15039.44</v>
      </c>
      <c r="E18" s="46">
        <v>0.91</v>
      </c>
      <c r="F18" s="49">
        <f t="shared" si="3"/>
        <v>1.1100000000000001</v>
      </c>
      <c r="G18" s="49">
        <f t="shared" si="4"/>
        <v>16693.78</v>
      </c>
      <c r="H18" s="47" t="s">
        <v>25</v>
      </c>
      <c r="I18" s="113">
        <v>95303</v>
      </c>
    </row>
    <row r="19" spans="1:9" s="7" customFormat="1" hidden="1" x14ac:dyDescent="0.2">
      <c r="A19" s="50"/>
      <c r="B19" s="51" t="s">
        <v>5</v>
      </c>
      <c r="C19" s="52"/>
      <c r="D19" s="30"/>
      <c r="E19" s="38"/>
      <c r="F19" s="48"/>
      <c r="G19" s="38">
        <f>SUM(G15:G18)</f>
        <v>531993.01</v>
      </c>
      <c r="H19" s="53"/>
      <c r="I19" s="114"/>
    </row>
    <row r="20" spans="1:9" s="34" customFormat="1" hidden="1" x14ac:dyDescent="0.2">
      <c r="A20" s="57" t="s">
        <v>121</v>
      </c>
      <c r="B20" s="65" t="s">
        <v>41</v>
      </c>
      <c r="C20" s="66"/>
      <c r="D20" s="171"/>
      <c r="E20" s="67"/>
      <c r="F20" s="67"/>
      <c r="G20" s="68"/>
      <c r="H20" s="68"/>
      <c r="I20" s="116"/>
    </row>
    <row r="21" spans="1:9" s="34" customFormat="1" ht="12.75" hidden="1" customHeight="1" x14ac:dyDescent="0.2">
      <c r="A21" s="70" t="s">
        <v>130</v>
      </c>
      <c r="B21" s="40" t="s">
        <v>71</v>
      </c>
      <c r="C21" s="69" t="s">
        <v>6</v>
      </c>
      <c r="D21" s="71">
        <v>62.06</v>
      </c>
      <c r="E21" s="71">
        <v>42.12</v>
      </c>
      <c r="F21" s="46">
        <f t="shared" ref="F21:F25" si="5">ROUND(E21*(1+$G$3),2)</f>
        <v>51.39</v>
      </c>
      <c r="G21" s="46">
        <f t="shared" ref="G21:G25" si="6">ROUND(D21*F21,2)</f>
        <v>3189.26</v>
      </c>
      <c r="H21" s="47" t="s">
        <v>42</v>
      </c>
      <c r="I21" s="113">
        <v>5214003</v>
      </c>
    </row>
    <row r="22" spans="1:9" s="34" customFormat="1" ht="12.75" hidden="1" customHeight="1" x14ac:dyDescent="0.2">
      <c r="A22" s="70" t="s">
        <v>131</v>
      </c>
      <c r="B22" s="40" t="s">
        <v>70</v>
      </c>
      <c r="C22" s="69" t="s">
        <v>6</v>
      </c>
      <c r="D22" s="71">
        <v>243.97</v>
      </c>
      <c r="E22" s="71">
        <v>34.68</v>
      </c>
      <c r="F22" s="46">
        <f t="shared" si="5"/>
        <v>42.31</v>
      </c>
      <c r="G22" s="46">
        <f>ROUND(D22*F22,2)</f>
        <v>10322.370000000001</v>
      </c>
      <c r="H22" s="47" t="s">
        <v>42</v>
      </c>
      <c r="I22" s="113">
        <v>5213413</v>
      </c>
    </row>
    <row r="23" spans="1:9" s="34" customFormat="1" ht="12.75" hidden="1" customHeight="1" x14ac:dyDescent="0.2">
      <c r="A23" s="70" t="s">
        <v>132</v>
      </c>
      <c r="B23" s="40" t="s">
        <v>104</v>
      </c>
      <c r="C23" s="69" t="s">
        <v>96</v>
      </c>
      <c r="D23" s="71">
        <v>112</v>
      </c>
      <c r="E23" s="71">
        <v>37.08</v>
      </c>
      <c r="F23" s="46">
        <f t="shared" si="5"/>
        <v>45.24</v>
      </c>
      <c r="G23" s="46">
        <f t="shared" si="6"/>
        <v>5066.88</v>
      </c>
      <c r="H23" s="47" t="s">
        <v>42</v>
      </c>
      <c r="I23" s="113">
        <v>5213361</v>
      </c>
    </row>
    <row r="24" spans="1:9" s="34" customFormat="1" ht="12.75" hidden="1" customHeight="1" x14ac:dyDescent="0.2">
      <c r="A24" s="70" t="s">
        <v>133</v>
      </c>
      <c r="B24" s="40" t="s">
        <v>106</v>
      </c>
      <c r="C24" s="69" t="s">
        <v>96</v>
      </c>
      <c r="D24" s="71">
        <v>77</v>
      </c>
      <c r="E24" s="71">
        <v>14.03</v>
      </c>
      <c r="F24" s="46">
        <f t="shared" si="5"/>
        <v>17.12</v>
      </c>
      <c r="G24" s="46">
        <f t="shared" si="6"/>
        <v>1318.24</v>
      </c>
      <c r="H24" s="47" t="s">
        <v>42</v>
      </c>
      <c r="I24" s="113">
        <v>5213359</v>
      </c>
    </row>
    <row r="25" spans="1:9" s="34" customFormat="1" ht="12.75" hidden="1" customHeight="1" x14ac:dyDescent="0.2">
      <c r="A25" s="70" t="s">
        <v>133</v>
      </c>
      <c r="B25" s="40" t="s">
        <v>223</v>
      </c>
      <c r="C25" s="69" t="s">
        <v>96</v>
      </c>
      <c r="D25" s="71">
        <v>38</v>
      </c>
      <c r="E25" s="71">
        <v>85.48</v>
      </c>
      <c r="F25" s="46">
        <f t="shared" si="5"/>
        <v>104.29</v>
      </c>
      <c r="G25" s="46">
        <f t="shared" si="6"/>
        <v>3963.02</v>
      </c>
      <c r="H25" s="47" t="s">
        <v>52</v>
      </c>
      <c r="I25" s="113" t="s">
        <v>264</v>
      </c>
    </row>
    <row r="26" spans="1:9" s="8" customFormat="1" hidden="1" x14ac:dyDescent="0.2">
      <c r="A26" s="72"/>
      <c r="B26" s="73" t="s">
        <v>5</v>
      </c>
      <c r="C26" s="74"/>
      <c r="D26" s="172"/>
      <c r="E26" s="35"/>
      <c r="F26" s="35"/>
      <c r="G26" s="35">
        <f>SUM(G21:G25)</f>
        <v>23859.770000000004</v>
      </c>
      <c r="H26" s="75"/>
      <c r="I26" s="117"/>
    </row>
    <row r="27" spans="1:9" s="6" customFormat="1" ht="13.5" hidden="1" thickBot="1" x14ac:dyDescent="0.25">
      <c r="A27" s="18"/>
      <c r="B27" s="19" t="s">
        <v>9</v>
      </c>
      <c r="C27" s="20"/>
      <c r="D27" s="21"/>
      <c r="E27" s="21"/>
      <c r="F27" s="21"/>
      <c r="G27" s="22">
        <f>SUM(G26+G19+G10+G13)</f>
        <v>559981.18000000005</v>
      </c>
      <c r="H27" s="76"/>
      <c r="I27" s="77"/>
    </row>
    <row r="28" spans="1:9" x14ac:dyDescent="0.2">
      <c r="A28" s="119" t="s">
        <v>3</v>
      </c>
      <c r="B28" s="10" t="s">
        <v>260</v>
      </c>
      <c r="C28" s="9"/>
      <c r="D28" s="11"/>
      <c r="E28" s="11"/>
      <c r="F28" s="11"/>
      <c r="G28" s="11"/>
      <c r="I28" s="118"/>
    </row>
    <row r="29" spans="1:9" x14ac:dyDescent="0.2">
      <c r="A29" s="119" t="s">
        <v>45</v>
      </c>
      <c r="B29" s="79" t="s">
        <v>115</v>
      </c>
      <c r="C29" s="9"/>
      <c r="D29" s="11" t="s">
        <v>109</v>
      </c>
      <c r="E29" s="11"/>
      <c r="F29" s="13" t="s">
        <v>20</v>
      </c>
      <c r="G29" s="12">
        <v>0.22</v>
      </c>
      <c r="I29" s="118"/>
    </row>
    <row r="30" spans="1:9" s="162" customFormat="1" ht="13.5" thickBot="1" x14ac:dyDescent="0.25">
      <c r="A30" s="163"/>
      <c r="B30" s="159"/>
      <c r="C30" s="158"/>
      <c r="D30" s="160"/>
      <c r="E30" s="160"/>
      <c r="F30" s="160"/>
      <c r="G30" s="160"/>
      <c r="H30" s="161"/>
      <c r="I30" s="164"/>
    </row>
    <row r="31" spans="1:9" s="39" customFormat="1" ht="18" customHeight="1" x14ac:dyDescent="0.2">
      <c r="A31" s="54" t="s">
        <v>0</v>
      </c>
      <c r="B31" s="55" t="s">
        <v>1</v>
      </c>
      <c r="C31" s="55" t="s">
        <v>8</v>
      </c>
      <c r="D31" s="56" t="s">
        <v>2</v>
      </c>
      <c r="E31" s="56" t="s">
        <v>21</v>
      </c>
      <c r="F31" s="56" t="s">
        <v>14</v>
      </c>
      <c r="G31" s="56" t="s">
        <v>16</v>
      </c>
      <c r="H31" s="56" t="s">
        <v>24</v>
      </c>
      <c r="I31" s="111" t="s">
        <v>23</v>
      </c>
    </row>
    <row r="32" spans="1:9" s="14" customFormat="1" x14ac:dyDescent="0.2">
      <c r="A32" s="57" t="s">
        <v>51</v>
      </c>
      <c r="B32" s="58" t="s">
        <v>17</v>
      </c>
      <c r="C32" s="59"/>
      <c r="D32" s="60"/>
      <c r="E32" s="60"/>
      <c r="F32" s="60"/>
      <c r="G32" s="60"/>
      <c r="H32" s="61"/>
      <c r="I32" s="112"/>
    </row>
    <row r="33" spans="1:11" ht="14.25" customHeight="1" x14ac:dyDescent="0.2">
      <c r="A33" s="43" t="s">
        <v>134</v>
      </c>
      <c r="B33" s="42" t="s">
        <v>48</v>
      </c>
      <c r="C33" s="44" t="s">
        <v>6</v>
      </c>
      <c r="D33" s="45">
        <v>2.5</v>
      </c>
      <c r="E33" s="46">
        <v>302.64</v>
      </c>
      <c r="F33" s="46">
        <f>ROUND(E33*(1+$G$3),2)</f>
        <v>369.22</v>
      </c>
      <c r="G33" s="46">
        <f>ROUND(D33*F33,2)</f>
        <v>923.05</v>
      </c>
      <c r="H33" s="47" t="s">
        <v>25</v>
      </c>
      <c r="I33" s="113" t="s">
        <v>22</v>
      </c>
    </row>
    <row r="34" spans="1:11" ht="25.5" x14ac:dyDescent="0.2">
      <c r="A34" s="43" t="s">
        <v>135</v>
      </c>
      <c r="B34" s="42" t="s">
        <v>18</v>
      </c>
      <c r="C34" s="44" t="s">
        <v>6</v>
      </c>
      <c r="D34" s="45">
        <v>10166.18</v>
      </c>
      <c r="E34" s="46">
        <v>0.34</v>
      </c>
      <c r="F34" s="46">
        <f>ROUND(E34*(1+$G$3),2)</f>
        <v>0.41</v>
      </c>
      <c r="G34" s="46">
        <f>ROUND(D34*F34,2)</f>
        <v>4168.13</v>
      </c>
      <c r="H34" s="47" t="s">
        <v>25</v>
      </c>
      <c r="I34" s="113">
        <v>78472</v>
      </c>
    </row>
    <row r="35" spans="1:11" ht="38.25" x14ac:dyDescent="0.2">
      <c r="A35" s="43" t="s">
        <v>136</v>
      </c>
      <c r="B35" s="42" t="s">
        <v>114</v>
      </c>
      <c r="C35" s="44" t="s">
        <v>49</v>
      </c>
      <c r="D35" s="45">
        <v>2.11</v>
      </c>
      <c r="E35" s="46">
        <v>150.41</v>
      </c>
      <c r="F35" s="46">
        <f>ROUND(E35*(1+$G$3),2)</f>
        <v>183.5</v>
      </c>
      <c r="G35" s="46">
        <f>ROUND(D35*F35,2)</f>
        <v>387.19</v>
      </c>
      <c r="H35" s="47" t="s">
        <v>25</v>
      </c>
      <c r="I35" s="113">
        <v>5901</v>
      </c>
    </row>
    <row r="36" spans="1:11" s="7" customFormat="1" x14ac:dyDescent="0.2">
      <c r="A36" s="50"/>
      <c r="B36" s="51" t="s">
        <v>5</v>
      </c>
      <c r="C36" s="52"/>
      <c r="D36" s="30"/>
      <c r="E36" s="38"/>
      <c r="F36" s="38"/>
      <c r="G36" s="38">
        <f>SUM(G33:G35)</f>
        <v>5478.37</v>
      </c>
      <c r="H36" s="53"/>
      <c r="I36" s="114"/>
    </row>
    <row r="37" spans="1:11" s="15" customFormat="1" ht="16.5" x14ac:dyDescent="0.25">
      <c r="A37" s="57" t="s">
        <v>137</v>
      </c>
      <c r="B37" s="58" t="s">
        <v>95</v>
      </c>
      <c r="C37" s="62"/>
      <c r="D37" s="63"/>
      <c r="E37" s="63"/>
      <c r="F37" s="63"/>
      <c r="G37" s="63"/>
      <c r="H37" s="64"/>
      <c r="I37" s="115"/>
      <c r="K37" s="147"/>
    </row>
    <row r="38" spans="1:11" x14ac:dyDescent="0.2">
      <c r="A38" s="78" t="s">
        <v>138</v>
      </c>
      <c r="B38" s="41" t="s">
        <v>112</v>
      </c>
      <c r="C38" s="44" t="s">
        <v>96</v>
      </c>
      <c r="D38" s="45">
        <v>38</v>
      </c>
      <c r="E38" s="46">
        <f>Composições!E7</f>
        <v>22.104599999999998</v>
      </c>
      <c r="F38" s="49">
        <f>ROUND(E38*(1+$G$3),2)</f>
        <v>26.97</v>
      </c>
      <c r="G38" s="49">
        <f t="shared" ref="G38" si="7">ROUND(D38*F38,2)</f>
        <v>1024.8599999999999</v>
      </c>
      <c r="H38" s="47" t="s">
        <v>52</v>
      </c>
      <c r="I38" s="113" t="s">
        <v>26</v>
      </c>
    </row>
    <row r="39" spans="1:11" s="7" customFormat="1" x14ac:dyDescent="0.2">
      <c r="A39" s="50"/>
      <c r="B39" s="51" t="s">
        <v>5</v>
      </c>
      <c r="C39" s="52"/>
      <c r="D39" s="30"/>
      <c r="E39" s="38"/>
      <c r="F39" s="48"/>
      <c r="G39" s="38">
        <f>SUM(G38:G38)</f>
        <v>1024.8599999999999</v>
      </c>
      <c r="H39" s="53"/>
      <c r="I39" s="114"/>
    </row>
    <row r="40" spans="1:11" s="15" customFormat="1" x14ac:dyDescent="0.2">
      <c r="A40" s="57" t="s">
        <v>139</v>
      </c>
      <c r="B40" s="58" t="s">
        <v>13</v>
      </c>
      <c r="C40" s="62"/>
      <c r="D40" s="63"/>
      <c r="E40" s="63"/>
      <c r="F40" s="63"/>
      <c r="G40" s="63"/>
      <c r="H40" s="64"/>
      <c r="I40" s="115"/>
    </row>
    <row r="41" spans="1:11" x14ac:dyDescent="0.2">
      <c r="A41" s="78" t="s">
        <v>140</v>
      </c>
      <c r="B41" s="41" t="s">
        <v>110</v>
      </c>
      <c r="C41" s="44" t="s">
        <v>6</v>
      </c>
      <c r="D41" s="45">
        <v>398.8</v>
      </c>
      <c r="E41" s="46">
        <f>Composições!E19</f>
        <v>64.261499999999998</v>
      </c>
      <c r="F41" s="49">
        <f>ROUND(E41*(1+$G$3),2)</f>
        <v>78.400000000000006</v>
      </c>
      <c r="G41" s="49">
        <f t="shared" ref="G41:G44" si="8">ROUND(D41*F41,2)</f>
        <v>31265.919999999998</v>
      </c>
      <c r="H41" s="47" t="s">
        <v>52</v>
      </c>
      <c r="I41" s="113" t="s">
        <v>27</v>
      </c>
    </row>
    <row r="42" spans="1:11" x14ac:dyDescent="0.2">
      <c r="A42" s="78" t="s">
        <v>141</v>
      </c>
      <c r="B42" s="41" t="s">
        <v>40</v>
      </c>
      <c r="C42" s="44" t="s">
        <v>6</v>
      </c>
      <c r="D42" s="45">
        <f>D34</f>
        <v>10166.18</v>
      </c>
      <c r="E42" s="46">
        <v>1.3</v>
      </c>
      <c r="F42" s="49">
        <f>ROUND(E42*(1+$G$3),2)</f>
        <v>1.59</v>
      </c>
      <c r="G42" s="49">
        <f t="shared" si="8"/>
        <v>16164.23</v>
      </c>
      <c r="H42" s="47" t="s">
        <v>25</v>
      </c>
      <c r="I42" s="113">
        <v>72943</v>
      </c>
    </row>
    <row r="43" spans="1:11" x14ac:dyDescent="0.2">
      <c r="A43" s="78" t="s">
        <v>142</v>
      </c>
      <c r="B43" s="41" t="s">
        <v>265</v>
      </c>
      <c r="C43" s="44" t="s">
        <v>7</v>
      </c>
      <c r="D43" s="45">
        <v>762.46</v>
      </c>
      <c r="E43" s="46">
        <v>672.28</v>
      </c>
      <c r="F43" s="49">
        <f>ROUND(E43*(1+$G$3),2)</f>
        <v>820.18</v>
      </c>
      <c r="G43" s="49">
        <f t="shared" si="8"/>
        <v>625354.43999999994</v>
      </c>
      <c r="H43" s="47" t="s">
        <v>25</v>
      </c>
      <c r="I43" s="113">
        <v>95995</v>
      </c>
    </row>
    <row r="44" spans="1:11" x14ac:dyDescent="0.2">
      <c r="A44" s="78" t="s">
        <v>143</v>
      </c>
      <c r="B44" s="41" t="s">
        <v>43</v>
      </c>
      <c r="C44" s="44" t="s">
        <v>47</v>
      </c>
      <c r="D44" s="45">
        <f>ROUND((D43)*26,2)</f>
        <v>19823.96</v>
      </c>
      <c r="E44" s="46">
        <v>0.91</v>
      </c>
      <c r="F44" s="49">
        <f>ROUND(E44*(1+$G$3),2)</f>
        <v>1.1100000000000001</v>
      </c>
      <c r="G44" s="49">
        <f t="shared" si="8"/>
        <v>22004.6</v>
      </c>
      <c r="H44" s="47" t="s">
        <v>25</v>
      </c>
      <c r="I44" s="113">
        <v>95303</v>
      </c>
    </row>
    <row r="45" spans="1:11" s="7" customFormat="1" x14ac:dyDescent="0.2">
      <c r="A45" s="50"/>
      <c r="B45" s="51" t="s">
        <v>5</v>
      </c>
      <c r="C45" s="52"/>
      <c r="D45" s="30"/>
      <c r="E45" s="38"/>
      <c r="F45" s="48"/>
      <c r="G45" s="38">
        <f>SUM(G41:G44)</f>
        <v>694789.19</v>
      </c>
      <c r="H45" s="53"/>
      <c r="I45" s="114"/>
    </row>
    <row r="46" spans="1:11" s="15" customFormat="1" x14ac:dyDescent="0.2">
      <c r="A46" s="57" t="s">
        <v>144</v>
      </c>
      <c r="B46" s="58" t="s">
        <v>41</v>
      </c>
      <c r="C46" s="62"/>
      <c r="D46" s="63"/>
      <c r="E46" s="63"/>
      <c r="F46" s="63"/>
      <c r="G46" s="63"/>
      <c r="H46" s="64"/>
      <c r="I46" s="115"/>
    </row>
    <row r="47" spans="1:11" s="34" customFormat="1" ht="12.75" customHeight="1" x14ac:dyDescent="0.2">
      <c r="A47" s="70" t="s">
        <v>145</v>
      </c>
      <c r="B47" s="40" t="s">
        <v>71</v>
      </c>
      <c r="C47" s="69" t="s">
        <v>6</v>
      </c>
      <c r="D47" s="71">
        <v>140.88</v>
      </c>
      <c r="E47" s="71">
        <v>42.12</v>
      </c>
      <c r="F47" s="46">
        <f>ROUND(E47*(1+$G$3),2)</f>
        <v>51.39</v>
      </c>
      <c r="G47" s="46">
        <f t="shared" ref="G47:G51" si="9">ROUND(D47*F47,2)</f>
        <v>7239.82</v>
      </c>
      <c r="H47" s="47" t="s">
        <v>42</v>
      </c>
      <c r="I47" s="113">
        <v>5214003</v>
      </c>
    </row>
    <row r="48" spans="1:11" s="34" customFormat="1" ht="12.75" customHeight="1" x14ac:dyDescent="0.2">
      <c r="A48" s="70" t="s">
        <v>146</v>
      </c>
      <c r="B48" s="40" t="s">
        <v>70</v>
      </c>
      <c r="C48" s="69" t="s">
        <v>6</v>
      </c>
      <c r="D48" s="71">
        <v>535.34</v>
      </c>
      <c r="E48" s="71">
        <v>34.68</v>
      </c>
      <c r="F48" s="46">
        <f>ROUND(E48*(1+$G$3),2)</f>
        <v>42.31</v>
      </c>
      <c r="G48" s="46">
        <f>ROUND(D48*F48,2)</f>
        <v>22650.240000000002</v>
      </c>
      <c r="H48" s="47" t="s">
        <v>42</v>
      </c>
      <c r="I48" s="113">
        <v>5213413</v>
      </c>
    </row>
    <row r="49" spans="1:9" s="34" customFormat="1" ht="12.75" customHeight="1" x14ac:dyDescent="0.2">
      <c r="A49" s="70" t="s">
        <v>147</v>
      </c>
      <c r="B49" s="40" t="s">
        <v>104</v>
      </c>
      <c r="C49" s="69" t="s">
        <v>96</v>
      </c>
      <c r="D49" s="71">
        <v>276</v>
      </c>
      <c r="E49" s="71">
        <v>37.08</v>
      </c>
      <c r="F49" s="46">
        <f>ROUND(E49*(1+$G$3),2)</f>
        <v>45.24</v>
      </c>
      <c r="G49" s="46">
        <f t="shared" si="9"/>
        <v>12486.24</v>
      </c>
      <c r="H49" s="47" t="s">
        <v>42</v>
      </c>
      <c r="I49" s="113">
        <v>5213361</v>
      </c>
    </row>
    <row r="50" spans="1:9" s="34" customFormat="1" ht="12.75" customHeight="1" x14ac:dyDescent="0.2">
      <c r="A50" s="70" t="s">
        <v>221</v>
      </c>
      <c r="B50" s="40" t="s">
        <v>106</v>
      </c>
      <c r="C50" s="69" t="s">
        <v>96</v>
      </c>
      <c r="D50" s="71">
        <v>131</v>
      </c>
      <c r="E50" s="71">
        <v>14.03</v>
      </c>
      <c r="F50" s="46">
        <f>ROUND(E50*(1+$G$3),2)</f>
        <v>17.12</v>
      </c>
      <c r="G50" s="46">
        <f t="shared" si="9"/>
        <v>2242.7199999999998</v>
      </c>
      <c r="H50" s="47" t="s">
        <v>42</v>
      </c>
      <c r="I50" s="113">
        <v>5213359</v>
      </c>
    </row>
    <row r="51" spans="1:9" s="34" customFormat="1" ht="12.75" customHeight="1" x14ac:dyDescent="0.2">
      <c r="A51" s="70" t="s">
        <v>222</v>
      </c>
      <c r="B51" s="40" t="s">
        <v>223</v>
      </c>
      <c r="C51" s="69" t="s">
        <v>96</v>
      </c>
      <c r="D51" s="71">
        <v>92</v>
      </c>
      <c r="E51" s="71">
        <v>85.48</v>
      </c>
      <c r="F51" s="46">
        <f>ROUND(E51*(1+$G$3),2)</f>
        <v>104.29</v>
      </c>
      <c r="G51" s="46">
        <f t="shared" si="9"/>
        <v>9594.68</v>
      </c>
      <c r="H51" s="47" t="s">
        <v>52</v>
      </c>
      <c r="I51" s="113" t="s">
        <v>264</v>
      </c>
    </row>
    <row r="52" spans="1:9" s="8" customFormat="1" x14ac:dyDescent="0.2">
      <c r="A52" s="72"/>
      <c r="B52" s="73" t="s">
        <v>5</v>
      </c>
      <c r="C52" s="74"/>
      <c r="D52" s="172"/>
      <c r="E52" s="35"/>
      <c r="F52" s="35"/>
      <c r="G52" s="35">
        <f>SUM(G47:G51)</f>
        <v>54213.700000000004</v>
      </c>
      <c r="H52" s="75"/>
      <c r="I52" s="117"/>
    </row>
    <row r="53" spans="1:9" s="6" customFormat="1" ht="13.5" thickBot="1" x14ac:dyDescent="0.25">
      <c r="A53" s="18"/>
      <c r="B53" s="19" t="s">
        <v>9</v>
      </c>
      <c r="C53" s="20"/>
      <c r="D53" s="21"/>
      <c r="E53" s="21"/>
      <c r="F53" s="21"/>
      <c r="G53" s="22">
        <f>SUM(G52+G45+G36+G39)</f>
        <v>755506.11999999988</v>
      </c>
      <c r="H53" s="76"/>
      <c r="I53" s="77"/>
    </row>
    <row r="54" spans="1:9" x14ac:dyDescent="0.2">
      <c r="A54" s="119" t="s">
        <v>3</v>
      </c>
      <c r="B54" s="10" t="s">
        <v>260</v>
      </c>
      <c r="C54" s="9"/>
      <c r="D54" s="11"/>
      <c r="E54" s="11"/>
      <c r="F54" s="11"/>
      <c r="G54" s="11"/>
      <c r="I54" s="118"/>
    </row>
    <row r="55" spans="1:9" x14ac:dyDescent="0.2">
      <c r="A55" s="119" t="s">
        <v>45</v>
      </c>
      <c r="B55" s="79" t="s">
        <v>116</v>
      </c>
      <c r="C55" s="9"/>
      <c r="D55" s="11" t="s">
        <v>259</v>
      </c>
      <c r="E55" s="11"/>
      <c r="F55" s="13" t="s">
        <v>20</v>
      </c>
      <c r="G55" s="12">
        <v>0.22</v>
      </c>
      <c r="I55" s="118"/>
    </row>
    <row r="56" spans="1:9" s="162" customFormat="1" ht="13.5" thickBot="1" x14ac:dyDescent="0.25">
      <c r="A56" s="163"/>
      <c r="B56" s="159"/>
      <c r="C56" s="158"/>
      <c r="D56" s="160"/>
      <c r="E56" s="160"/>
      <c r="F56" s="160"/>
      <c r="G56" s="160"/>
      <c r="H56" s="161"/>
      <c r="I56" s="164"/>
    </row>
    <row r="57" spans="1:9" s="39" customFormat="1" ht="18" customHeight="1" x14ac:dyDescent="0.2">
      <c r="A57" s="54" t="s">
        <v>0</v>
      </c>
      <c r="B57" s="55" t="s">
        <v>1</v>
      </c>
      <c r="C57" s="55" t="s">
        <v>8</v>
      </c>
      <c r="D57" s="56" t="s">
        <v>2</v>
      </c>
      <c r="E57" s="56" t="s">
        <v>21</v>
      </c>
      <c r="F57" s="56" t="s">
        <v>14</v>
      </c>
      <c r="G57" s="56" t="s">
        <v>16</v>
      </c>
      <c r="H57" s="56" t="s">
        <v>24</v>
      </c>
      <c r="I57" s="111" t="s">
        <v>23</v>
      </c>
    </row>
    <row r="58" spans="1:9" s="14" customFormat="1" x14ac:dyDescent="0.2">
      <c r="A58" s="57" t="s">
        <v>10</v>
      </c>
      <c r="B58" s="58" t="s">
        <v>17</v>
      </c>
      <c r="C58" s="59"/>
      <c r="D58" s="60"/>
      <c r="E58" s="60"/>
      <c r="F58" s="60"/>
      <c r="G58" s="60"/>
      <c r="H58" s="61"/>
      <c r="I58" s="112"/>
    </row>
    <row r="59" spans="1:9" ht="14.25" customHeight="1" x14ac:dyDescent="0.2">
      <c r="A59" s="43" t="s">
        <v>148</v>
      </c>
      <c r="B59" s="42" t="s">
        <v>48</v>
      </c>
      <c r="C59" s="44" t="s">
        <v>6</v>
      </c>
      <c r="D59" s="45">
        <v>2.5</v>
      </c>
      <c r="E59" s="46">
        <v>302.64</v>
      </c>
      <c r="F59" s="46">
        <f>ROUND(E59*(1+$G$3),2)</f>
        <v>369.22</v>
      </c>
      <c r="G59" s="46">
        <f>ROUND(D59*F59,2)</f>
        <v>923.05</v>
      </c>
      <c r="H59" s="47" t="s">
        <v>25</v>
      </c>
      <c r="I59" s="113" t="s">
        <v>22</v>
      </c>
    </row>
    <row r="60" spans="1:9" ht="25.5" x14ac:dyDescent="0.2">
      <c r="A60" s="43" t="s">
        <v>149</v>
      </c>
      <c r="B60" s="42" t="s">
        <v>18</v>
      </c>
      <c r="C60" s="44" t="s">
        <v>6</v>
      </c>
      <c r="D60" s="150">
        <v>9495.41</v>
      </c>
      <c r="E60" s="46">
        <v>0.34</v>
      </c>
      <c r="F60" s="46">
        <f>ROUND(E60*(1+$G$3),2)</f>
        <v>0.41</v>
      </c>
      <c r="G60" s="46">
        <f>ROUND(D60*F60,2)</f>
        <v>3893.12</v>
      </c>
      <c r="H60" s="47" t="s">
        <v>25</v>
      </c>
      <c r="I60" s="113">
        <v>78472</v>
      </c>
    </row>
    <row r="61" spans="1:9" ht="38.25" x14ac:dyDescent="0.2">
      <c r="A61" s="43" t="s">
        <v>150</v>
      </c>
      <c r="B61" s="42" t="s">
        <v>114</v>
      </c>
      <c r="C61" s="44" t="s">
        <v>49</v>
      </c>
      <c r="D61" s="45">
        <v>2.0299999999999998</v>
      </c>
      <c r="E61" s="46">
        <v>150.41</v>
      </c>
      <c r="F61" s="46">
        <f>ROUND(E61*(1+$G$3),2)</f>
        <v>183.5</v>
      </c>
      <c r="G61" s="46">
        <f>ROUND(D61*F61,2)</f>
        <v>372.51</v>
      </c>
      <c r="H61" s="47" t="s">
        <v>25</v>
      </c>
      <c r="I61" s="113">
        <v>5901</v>
      </c>
    </row>
    <row r="62" spans="1:9" s="7" customFormat="1" x14ac:dyDescent="0.2">
      <c r="A62" s="50"/>
      <c r="B62" s="51" t="s">
        <v>5</v>
      </c>
      <c r="C62" s="52"/>
      <c r="D62" s="30"/>
      <c r="E62" s="38"/>
      <c r="F62" s="38"/>
      <c r="G62" s="38">
        <f>SUM(G59:G61)</f>
        <v>5188.68</v>
      </c>
      <c r="H62" s="53"/>
      <c r="I62" s="114"/>
    </row>
    <row r="63" spans="1:9" s="15" customFormat="1" x14ac:dyDescent="0.2">
      <c r="A63" s="57" t="s">
        <v>11</v>
      </c>
      <c r="B63" s="58" t="s">
        <v>95</v>
      </c>
      <c r="C63" s="62"/>
      <c r="D63" s="63"/>
      <c r="E63" s="63"/>
      <c r="F63" s="63"/>
      <c r="G63" s="63"/>
      <c r="H63" s="64"/>
      <c r="I63" s="115"/>
    </row>
    <row r="64" spans="1:9" x14ac:dyDescent="0.2">
      <c r="A64" s="78" t="s">
        <v>151</v>
      </c>
      <c r="B64" s="41" t="s">
        <v>112</v>
      </c>
      <c r="C64" s="44" t="s">
        <v>96</v>
      </c>
      <c r="D64" s="45">
        <v>36</v>
      </c>
      <c r="E64" s="46">
        <f>Composições!E7</f>
        <v>22.104599999999998</v>
      </c>
      <c r="F64" s="49">
        <f>ROUND(E64*(1+$G$3),2)</f>
        <v>26.97</v>
      </c>
      <c r="G64" s="49">
        <f t="shared" ref="G64" si="10">ROUND(D64*F64,2)</f>
        <v>970.92</v>
      </c>
      <c r="H64" s="47" t="s">
        <v>52</v>
      </c>
      <c r="I64" s="113" t="s">
        <v>26</v>
      </c>
    </row>
    <row r="65" spans="1:9" s="7" customFormat="1" x14ac:dyDescent="0.2">
      <c r="A65" s="50"/>
      <c r="B65" s="51" t="s">
        <v>5</v>
      </c>
      <c r="C65" s="52"/>
      <c r="D65" s="30"/>
      <c r="E65" s="38"/>
      <c r="F65" s="48"/>
      <c r="G65" s="38">
        <f>SUM(G64:G64)</f>
        <v>970.92</v>
      </c>
      <c r="H65" s="53"/>
      <c r="I65" s="114"/>
    </row>
    <row r="66" spans="1:9" s="15" customFormat="1" x14ac:dyDescent="0.2">
      <c r="A66" s="57" t="s">
        <v>19</v>
      </c>
      <c r="B66" s="58" t="s">
        <v>13</v>
      </c>
      <c r="C66" s="62"/>
      <c r="D66" s="63"/>
      <c r="E66" s="63"/>
      <c r="F66" s="63"/>
      <c r="G66" s="63"/>
      <c r="H66" s="64"/>
      <c r="I66" s="115"/>
    </row>
    <row r="67" spans="1:9" x14ac:dyDescent="0.2">
      <c r="A67" s="78" t="s">
        <v>152</v>
      </c>
      <c r="B67" s="41" t="s">
        <v>110</v>
      </c>
      <c r="C67" s="44" t="s">
        <v>6</v>
      </c>
      <c r="D67" s="45">
        <v>250</v>
      </c>
      <c r="E67" s="46">
        <f>Composições!E19</f>
        <v>64.261499999999998</v>
      </c>
      <c r="F67" s="49">
        <f>ROUND(E67*(1+$G$3),2)</f>
        <v>78.400000000000006</v>
      </c>
      <c r="G67" s="49">
        <f t="shared" ref="G67:G70" si="11">ROUND(D67*F67,2)</f>
        <v>19600</v>
      </c>
      <c r="H67" s="47" t="s">
        <v>52</v>
      </c>
      <c r="I67" s="113" t="s">
        <v>27</v>
      </c>
    </row>
    <row r="68" spans="1:9" x14ac:dyDescent="0.2">
      <c r="A68" s="78" t="s">
        <v>153</v>
      </c>
      <c r="B68" s="41" t="s">
        <v>40</v>
      </c>
      <c r="C68" s="44" t="s">
        <v>6</v>
      </c>
      <c r="D68" s="45">
        <f>D60</f>
        <v>9495.41</v>
      </c>
      <c r="E68" s="46">
        <v>1.3</v>
      </c>
      <c r="F68" s="49">
        <f>ROUND(E68*(1+$G$3),2)</f>
        <v>1.59</v>
      </c>
      <c r="G68" s="49">
        <f t="shared" si="11"/>
        <v>15097.7</v>
      </c>
      <c r="H68" s="47" t="s">
        <v>25</v>
      </c>
      <c r="I68" s="113">
        <v>72943</v>
      </c>
    </row>
    <row r="69" spans="1:9" x14ac:dyDescent="0.2">
      <c r="A69" s="78" t="s">
        <v>154</v>
      </c>
      <c r="B69" s="41" t="s">
        <v>265</v>
      </c>
      <c r="C69" s="44" t="s">
        <v>7</v>
      </c>
      <c r="D69" s="45">
        <v>712.16</v>
      </c>
      <c r="E69" s="46">
        <v>672.28</v>
      </c>
      <c r="F69" s="49">
        <f>ROUND(E69*(1+$G$3),2)</f>
        <v>820.18</v>
      </c>
      <c r="G69" s="49">
        <f t="shared" si="11"/>
        <v>584099.39</v>
      </c>
      <c r="H69" s="47" t="s">
        <v>25</v>
      </c>
      <c r="I69" s="113">
        <v>95995</v>
      </c>
    </row>
    <row r="70" spans="1:9" x14ac:dyDescent="0.2">
      <c r="A70" s="78" t="s">
        <v>155</v>
      </c>
      <c r="B70" s="41" t="s">
        <v>43</v>
      </c>
      <c r="C70" s="44" t="s">
        <v>47</v>
      </c>
      <c r="D70" s="45">
        <v>18516.16</v>
      </c>
      <c r="E70" s="46">
        <v>0.91</v>
      </c>
      <c r="F70" s="49">
        <f>ROUND(E70*(1+$G$3),2)</f>
        <v>1.1100000000000001</v>
      </c>
      <c r="G70" s="49">
        <f t="shared" si="11"/>
        <v>20552.939999999999</v>
      </c>
      <c r="H70" s="47" t="s">
        <v>25</v>
      </c>
      <c r="I70" s="113">
        <v>95303</v>
      </c>
    </row>
    <row r="71" spans="1:9" s="7" customFormat="1" x14ac:dyDescent="0.2">
      <c r="A71" s="50"/>
      <c r="B71" s="51" t="s">
        <v>5</v>
      </c>
      <c r="C71" s="52"/>
      <c r="D71" s="30"/>
      <c r="E71" s="38"/>
      <c r="F71" s="48"/>
      <c r="G71" s="38">
        <f>SUM(G67:G70)</f>
        <v>639350.02999999991</v>
      </c>
      <c r="H71" s="53"/>
      <c r="I71" s="114"/>
    </row>
    <row r="72" spans="1:9" s="34" customFormat="1" x14ac:dyDescent="0.2">
      <c r="A72" s="57" t="s">
        <v>12</v>
      </c>
      <c r="B72" s="65" t="s">
        <v>41</v>
      </c>
      <c r="C72" s="66"/>
      <c r="D72" s="171"/>
      <c r="E72" s="67"/>
      <c r="F72" s="67"/>
      <c r="G72" s="68"/>
      <c r="H72" s="68"/>
      <c r="I72" s="116"/>
    </row>
    <row r="73" spans="1:9" s="34" customFormat="1" ht="12.75" customHeight="1" x14ac:dyDescent="0.2">
      <c r="A73" s="70" t="s">
        <v>156</v>
      </c>
      <c r="B73" s="40" t="s">
        <v>71</v>
      </c>
      <c r="C73" s="69" t="s">
        <v>6</v>
      </c>
      <c r="D73" s="71">
        <v>179.58</v>
      </c>
      <c r="E73" s="71">
        <v>42.12</v>
      </c>
      <c r="F73" s="46">
        <f>ROUND(E73*(1+$G$3),2)</f>
        <v>51.39</v>
      </c>
      <c r="G73" s="46">
        <f t="shared" ref="G73:G77" si="12">ROUND(D73*F73,2)</f>
        <v>9228.6200000000008</v>
      </c>
      <c r="H73" s="47" t="s">
        <v>42</v>
      </c>
      <c r="I73" s="113">
        <v>5214003</v>
      </c>
    </row>
    <row r="74" spans="1:9" s="34" customFormat="1" ht="12.75" customHeight="1" x14ac:dyDescent="0.2">
      <c r="A74" s="70" t="s">
        <v>146</v>
      </c>
      <c r="B74" s="40" t="s">
        <v>70</v>
      </c>
      <c r="C74" s="69" t="s">
        <v>6</v>
      </c>
      <c r="D74" s="71">
        <v>383.48</v>
      </c>
      <c r="E74" s="71">
        <v>34.68</v>
      </c>
      <c r="F74" s="46">
        <f>ROUND(E74*(1+$G$3),2)</f>
        <v>42.31</v>
      </c>
      <c r="G74" s="46">
        <f>ROUND(D74*F74,2)</f>
        <v>16225.04</v>
      </c>
      <c r="H74" s="47" t="s">
        <v>42</v>
      </c>
      <c r="I74" s="113">
        <v>5213413</v>
      </c>
    </row>
    <row r="75" spans="1:9" s="34" customFormat="1" ht="12.75" customHeight="1" x14ac:dyDescent="0.2">
      <c r="A75" s="70" t="s">
        <v>158</v>
      </c>
      <c r="B75" s="40" t="s">
        <v>103</v>
      </c>
      <c r="C75" s="69" t="s">
        <v>96</v>
      </c>
      <c r="D75" s="71">
        <v>195</v>
      </c>
      <c r="E75" s="71">
        <v>39.01</v>
      </c>
      <c r="F75" s="46">
        <f>ROUND(E75*(1+$G$3),2)</f>
        <v>47.59</v>
      </c>
      <c r="G75" s="46">
        <f t="shared" si="12"/>
        <v>9280.0499999999993</v>
      </c>
      <c r="H75" s="47" t="s">
        <v>42</v>
      </c>
      <c r="I75" s="113">
        <v>5213362</v>
      </c>
    </row>
    <row r="76" spans="1:9" s="34" customFormat="1" ht="12.75" customHeight="1" x14ac:dyDescent="0.2">
      <c r="A76" s="70" t="s">
        <v>224</v>
      </c>
      <c r="B76" s="40" t="s">
        <v>105</v>
      </c>
      <c r="C76" s="69" t="s">
        <v>96</v>
      </c>
      <c r="D76" s="71">
        <v>133</v>
      </c>
      <c r="E76" s="71">
        <v>17.8</v>
      </c>
      <c r="F76" s="46">
        <f>ROUND(E76*(1+$G$3),2)</f>
        <v>21.72</v>
      </c>
      <c r="G76" s="46">
        <f t="shared" si="12"/>
        <v>2888.76</v>
      </c>
      <c r="H76" s="47" t="s">
        <v>42</v>
      </c>
      <c r="I76" s="113">
        <v>5213360</v>
      </c>
    </row>
    <row r="77" spans="1:9" s="34" customFormat="1" ht="12.75" customHeight="1" x14ac:dyDescent="0.2">
      <c r="A77" s="70" t="s">
        <v>225</v>
      </c>
      <c r="B77" s="40" t="s">
        <v>223</v>
      </c>
      <c r="C77" s="69" t="s">
        <v>96</v>
      </c>
      <c r="D77" s="71">
        <v>97</v>
      </c>
      <c r="E77" s="71">
        <v>85.48</v>
      </c>
      <c r="F77" s="46">
        <f>ROUND(E77*(1+$G$3),2)</f>
        <v>104.29</v>
      </c>
      <c r="G77" s="46">
        <f t="shared" si="12"/>
        <v>10116.129999999999</v>
      </c>
      <c r="H77" s="47" t="s">
        <v>52</v>
      </c>
      <c r="I77" s="113" t="s">
        <v>264</v>
      </c>
    </row>
    <row r="78" spans="1:9" s="8" customFormat="1" x14ac:dyDescent="0.2">
      <c r="A78" s="72"/>
      <c r="B78" s="73" t="s">
        <v>5</v>
      </c>
      <c r="C78" s="74"/>
      <c r="D78" s="172"/>
      <c r="E78" s="35"/>
      <c r="F78" s="35"/>
      <c r="G78" s="35">
        <f>SUM(G73:G77)</f>
        <v>47738.600000000006</v>
      </c>
      <c r="H78" s="75"/>
      <c r="I78" s="117"/>
    </row>
    <row r="79" spans="1:9" s="6" customFormat="1" ht="13.5" thickBot="1" x14ac:dyDescent="0.25">
      <c r="A79" s="18"/>
      <c r="B79" s="19" t="s">
        <v>9</v>
      </c>
      <c r="C79" s="20"/>
      <c r="D79" s="21"/>
      <c r="E79" s="21"/>
      <c r="F79" s="21"/>
      <c r="G79" s="22">
        <f>SUM(G78+G65+G71+G62)</f>
        <v>693248.23</v>
      </c>
      <c r="H79" s="76"/>
      <c r="I79" s="77"/>
    </row>
    <row r="80" spans="1:9" x14ac:dyDescent="0.2">
      <c r="A80" s="119" t="s">
        <v>3</v>
      </c>
      <c r="B80" s="10" t="s">
        <v>261</v>
      </c>
      <c r="C80" s="9"/>
      <c r="D80" s="11"/>
      <c r="E80" s="11"/>
      <c r="F80" s="11"/>
      <c r="G80" s="11"/>
      <c r="I80" s="118"/>
    </row>
    <row r="81" spans="1:9" x14ac:dyDescent="0.2">
      <c r="A81" s="119" t="s">
        <v>45</v>
      </c>
      <c r="B81" s="79" t="s">
        <v>117</v>
      </c>
      <c r="C81" s="9"/>
      <c r="D81" s="11" t="s">
        <v>259</v>
      </c>
      <c r="E81" s="11"/>
      <c r="F81" s="13" t="s">
        <v>20</v>
      </c>
      <c r="G81" s="12">
        <v>0.22</v>
      </c>
      <c r="I81" s="118"/>
    </row>
    <row r="82" spans="1:9" s="162" customFormat="1" ht="13.5" thickBot="1" x14ac:dyDescent="0.25">
      <c r="A82" s="163"/>
      <c r="B82" s="159"/>
      <c r="C82" s="158"/>
      <c r="D82" s="160"/>
      <c r="E82" s="160"/>
      <c r="F82" s="160"/>
      <c r="G82" s="160"/>
      <c r="H82" s="161"/>
      <c r="I82" s="164"/>
    </row>
    <row r="83" spans="1:9" s="39" customFormat="1" ht="18" customHeight="1" x14ac:dyDescent="0.2">
      <c r="A83" s="54" t="s">
        <v>0</v>
      </c>
      <c r="B83" s="55" t="s">
        <v>1</v>
      </c>
      <c r="C83" s="55" t="s">
        <v>8</v>
      </c>
      <c r="D83" s="56" t="s">
        <v>2</v>
      </c>
      <c r="E83" s="56" t="s">
        <v>21</v>
      </c>
      <c r="F83" s="56" t="s">
        <v>14</v>
      </c>
      <c r="G83" s="56" t="s">
        <v>16</v>
      </c>
      <c r="H83" s="56" t="s">
        <v>24</v>
      </c>
      <c r="I83" s="111" t="s">
        <v>23</v>
      </c>
    </row>
    <row r="84" spans="1:9" s="14" customFormat="1" x14ac:dyDescent="0.2">
      <c r="A84" s="57" t="s">
        <v>97</v>
      </c>
      <c r="B84" s="58" t="s">
        <v>17</v>
      </c>
      <c r="C84" s="59"/>
      <c r="D84" s="60"/>
      <c r="E84" s="60"/>
      <c r="F84" s="60"/>
      <c r="G84" s="60"/>
      <c r="H84" s="61"/>
      <c r="I84" s="112"/>
    </row>
    <row r="85" spans="1:9" ht="14.25" customHeight="1" x14ac:dyDescent="0.2">
      <c r="A85" s="43" t="s">
        <v>159</v>
      </c>
      <c r="B85" s="42" t="s">
        <v>48</v>
      </c>
      <c r="C85" s="44" t="s">
        <v>6</v>
      </c>
      <c r="D85" s="45">
        <f>2*1.25</f>
        <v>2.5</v>
      </c>
      <c r="E85" s="46">
        <v>302.64</v>
      </c>
      <c r="F85" s="46">
        <f>ROUND(E85*(1+$G$3),2)</f>
        <v>369.22</v>
      </c>
      <c r="G85" s="46">
        <f>ROUND(D85*F85,2)</f>
        <v>923.05</v>
      </c>
      <c r="H85" s="47" t="s">
        <v>25</v>
      </c>
      <c r="I85" s="113" t="s">
        <v>22</v>
      </c>
    </row>
    <row r="86" spans="1:9" ht="25.5" x14ac:dyDescent="0.2">
      <c r="A86" s="43" t="s">
        <v>160</v>
      </c>
      <c r="B86" s="42" t="s">
        <v>18</v>
      </c>
      <c r="C86" s="44" t="s">
        <v>6</v>
      </c>
      <c r="D86" s="45">
        <v>4965.16</v>
      </c>
      <c r="E86" s="46">
        <v>0.34</v>
      </c>
      <c r="F86" s="46">
        <f>ROUND(E86*(1+$G$3),2)</f>
        <v>0.41</v>
      </c>
      <c r="G86" s="46">
        <f>ROUND(D86*F86,2)</f>
        <v>2035.72</v>
      </c>
      <c r="H86" s="47" t="s">
        <v>25</v>
      </c>
      <c r="I86" s="113">
        <v>78472</v>
      </c>
    </row>
    <row r="87" spans="1:9" ht="38.25" x14ac:dyDescent="0.2">
      <c r="A87" s="43" t="s">
        <v>161</v>
      </c>
      <c r="B87" s="42" t="s">
        <v>114</v>
      </c>
      <c r="C87" s="44" t="s">
        <v>49</v>
      </c>
      <c r="D87" s="45">
        <f>ROUND((((462.72*6*2)/1000))/5,2)</f>
        <v>1.1100000000000001</v>
      </c>
      <c r="E87" s="46">
        <v>150.41</v>
      </c>
      <c r="F87" s="46">
        <f>ROUND(E87*(1+$G$3),2)</f>
        <v>183.5</v>
      </c>
      <c r="G87" s="46">
        <f>ROUND(D87*F87,2)</f>
        <v>203.69</v>
      </c>
      <c r="H87" s="47" t="s">
        <v>25</v>
      </c>
      <c r="I87" s="113">
        <v>5901</v>
      </c>
    </row>
    <row r="88" spans="1:9" s="7" customFormat="1" x14ac:dyDescent="0.2">
      <c r="A88" s="50"/>
      <c r="B88" s="51" t="s">
        <v>5</v>
      </c>
      <c r="C88" s="52"/>
      <c r="D88" s="30"/>
      <c r="E88" s="38"/>
      <c r="F88" s="38"/>
      <c r="G88" s="38">
        <f>SUM(G85:G87)</f>
        <v>3162.46</v>
      </c>
      <c r="H88" s="53"/>
      <c r="I88" s="114"/>
    </row>
    <row r="89" spans="1:9" s="15" customFormat="1" x14ac:dyDescent="0.2">
      <c r="A89" s="57" t="s">
        <v>98</v>
      </c>
      <c r="B89" s="58" t="s">
        <v>95</v>
      </c>
      <c r="C89" s="62"/>
      <c r="D89" s="63"/>
      <c r="E89" s="63"/>
      <c r="F89" s="63"/>
      <c r="G89" s="63"/>
      <c r="H89" s="64"/>
      <c r="I89" s="115"/>
    </row>
    <row r="90" spans="1:9" x14ac:dyDescent="0.2">
      <c r="A90" s="78" t="s">
        <v>162</v>
      </c>
      <c r="B90" s="41" t="s">
        <v>112</v>
      </c>
      <c r="C90" s="44" t="s">
        <v>96</v>
      </c>
      <c r="D90" s="45">
        <v>25</v>
      </c>
      <c r="E90" s="46">
        <f>Composições!E7</f>
        <v>22.104599999999998</v>
      </c>
      <c r="F90" s="49">
        <f>ROUND(E90*(1+$G$3),2)</f>
        <v>26.97</v>
      </c>
      <c r="G90" s="49">
        <f t="shared" ref="G90" si="13">ROUND(D90*F90,2)</f>
        <v>674.25</v>
      </c>
      <c r="H90" s="47" t="s">
        <v>52</v>
      </c>
      <c r="I90" s="113" t="s">
        <v>26</v>
      </c>
    </row>
    <row r="91" spans="1:9" s="7" customFormat="1" x14ac:dyDescent="0.2">
      <c r="A91" s="50"/>
      <c r="B91" s="51" t="s">
        <v>5</v>
      </c>
      <c r="C91" s="52"/>
      <c r="D91" s="30"/>
      <c r="E91" s="38"/>
      <c r="F91" s="48"/>
      <c r="G91" s="38">
        <f>SUM(G90:G90)</f>
        <v>674.25</v>
      </c>
      <c r="H91" s="53"/>
      <c r="I91" s="114"/>
    </row>
    <row r="92" spans="1:9" s="15" customFormat="1" x14ac:dyDescent="0.2">
      <c r="A92" s="57" t="s">
        <v>107</v>
      </c>
      <c r="B92" s="58" t="s">
        <v>13</v>
      </c>
      <c r="C92" s="62"/>
      <c r="D92" s="63"/>
      <c r="E92" s="63"/>
      <c r="F92" s="63"/>
      <c r="G92" s="63"/>
      <c r="H92" s="64"/>
      <c r="I92" s="115"/>
    </row>
    <row r="93" spans="1:9" x14ac:dyDescent="0.2">
      <c r="A93" s="78" t="s">
        <v>163</v>
      </c>
      <c r="B93" s="41" t="s">
        <v>110</v>
      </c>
      <c r="C93" s="44" t="s">
        <v>6</v>
      </c>
      <c r="D93" s="45">
        <v>108.24</v>
      </c>
      <c r="E93" s="46">
        <f>Composições!E19</f>
        <v>64.261499999999998</v>
      </c>
      <c r="F93" s="49">
        <f>ROUND(E93*(1+$G$3),2)</f>
        <v>78.400000000000006</v>
      </c>
      <c r="G93" s="49">
        <f t="shared" ref="G93:G96" si="14">ROUND(D93*F93,2)</f>
        <v>8486.02</v>
      </c>
      <c r="H93" s="47" t="s">
        <v>52</v>
      </c>
      <c r="I93" s="113" t="s">
        <v>27</v>
      </c>
    </row>
    <row r="94" spans="1:9" x14ac:dyDescent="0.2">
      <c r="A94" s="78" t="s">
        <v>164</v>
      </c>
      <c r="B94" s="41" t="s">
        <v>40</v>
      </c>
      <c r="C94" s="44" t="s">
        <v>6</v>
      </c>
      <c r="D94" s="45">
        <v>9930.32</v>
      </c>
      <c r="E94" s="46">
        <v>1.3</v>
      </c>
      <c r="F94" s="49">
        <f>ROUND(E94*(1+$G$3),2)</f>
        <v>1.59</v>
      </c>
      <c r="G94" s="49">
        <f t="shared" si="14"/>
        <v>15789.21</v>
      </c>
      <c r="H94" s="47" t="s">
        <v>25</v>
      </c>
      <c r="I94" s="113">
        <v>72943</v>
      </c>
    </row>
    <row r="95" spans="1:9" x14ac:dyDescent="0.2">
      <c r="A95" s="78" t="s">
        <v>165</v>
      </c>
      <c r="B95" s="41" t="s">
        <v>266</v>
      </c>
      <c r="C95" s="44" t="s">
        <v>7</v>
      </c>
      <c r="D95" s="45">
        <v>496.52</v>
      </c>
      <c r="E95" s="46">
        <v>690.21</v>
      </c>
      <c r="F95" s="49">
        <f>ROUND(E95*(1+$G$3),2)</f>
        <v>842.06</v>
      </c>
      <c r="G95" s="49">
        <f t="shared" si="14"/>
        <v>418099.63</v>
      </c>
      <c r="H95" s="47" t="s">
        <v>25</v>
      </c>
      <c r="I95" s="113">
        <v>95995</v>
      </c>
    </row>
    <row r="96" spans="1:9" x14ac:dyDescent="0.2">
      <c r="A96" s="78" t="s">
        <v>166</v>
      </c>
      <c r="B96" s="41" t="s">
        <v>43</v>
      </c>
      <c r="C96" s="44" t="s">
        <v>47</v>
      </c>
      <c r="D96" s="45">
        <v>12909.52</v>
      </c>
      <c r="E96" s="46">
        <v>0.91</v>
      </c>
      <c r="F96" s="49">
        <f>ROUND(E96*(1+$G$3),2)</f>
        <v>1.1100000000000001</v>
      </c>
      <c r="G96" s="49">
        <f t="shared" si="14"/>
        <v>14329.57</v>
      </c>
      <c r="H96" s="47" t="s">
        <v>25</v>
      </c>
      <c r="I96" s="113">
        <v>95303</v>
      </c>
    </row>
    <row r="97" spans="1:9" s="7" customFormat="1" x14ac:dyDescent="0.2">
      <c r="A97" s="50"/>
      <c r="B97" s="51" t="s">
        <v>5</v>
      </c>
      <c r="C97" s="52"/>
      <c r="D97" s="30"/>
      <c r="E97" s="38"/>
      <c r="F97" s="48"/>
      <c r="G97" s="38">
        <f>SUM(G93:G96)</f>
        <v>456704.43</v>
      </c>
      <c r="H97" s="53"/>
      <c r="I97" s="114"/>
    </row>
    <row r="98" spans="1:9" s="34" customFormat="1" x14ac:dyDescent="0.2">
      <c r="A98" s="57" t="s">
        <v>108</v>
      </c>
      <c r="B98" s="65" t="s">
        <v>41</v>
      </c>
      <c r="C98" s="66"/>
      <c r="D98" s="171"/>
      <c r="E98" s="67"/>
      <c r="F98" s="67"/>
      <c r="G98" s="68"/>
      <c r="H98" s="68"/>
      <c r="I98" s="116"/>
    </row>
    <row r="99" spans="1:9" s="34" customFormat="1" ht="12.75" customHeight="1" x14ac:dyDescent="0.2">
      <c r="A99" s="70" t="s">
        <v>167</v>
      </c>
      <c r="B99" s="40" t="s">
        <v>71</v>
      </c>
      <c r="C99" s="69" t="s">
        <v>6</v>
      </c>
      <c r="D99" s="71">
        <v>57.58</v>
      </c>
      <c r="E99" s="71">
        <v>42.12</v>
      </c>
      <c r="F99" s="46">
        <f t="shared" ref="F99:F104" si="15">ROUND(E99*(1+$G$3),2)</f>
        <v>51.39</v>
      </c>
      <c r="G99" s="46">
        <f t="shared" ref="G99:G104" si="16">ROUND(D99*F99,2)</f>
        <v>2959.04</v>
      </c>
      <c r="H99" s="47" t="s">
        <v>42</v>
      </c>
      <c r="I99" s="113">
        <v>5214003</v>
      </c>
    </row>
    <row r="100" spans="1:9" s="34" customFormat="1" ht="12.75" customHeight="1" x14ac:dyDescent="0.2">
      <c r="A100" s="70" t="s">
        <v>168</v>
      </c>
      <c r="B100" s="40" t="s">
        <v>118</v>
      </c>
      <c r="C100" s="69" t="s">
        <v>6</v>
      </c>
      <c r="D100" s="71">
        <v>284.01</v>
      </c>
      <c r="E100" s="71">
        <v>34.68</v>
      </c>
      <c r="F100" s="46">
        <f t="shared" si="15"/>
        <v>42.31</v>
      </c>
      <c r="G100" s="46">
        <f t="shared" si="16"/>
        <v>12016.46</v>
      </c>
      <c r="H100" s="47" t="s">
        <v>42</v>
      </c>
      <c r="I100" s="113">
        <v>5213413</v>
      </c>
    </row>
    <row r="101" spans="1:9" s="34" customFormat="1" ht="12.75" customHeight="1" x14ac:dyDescent="0.2">
      <c r="A101" s="70" t="s">
        <v>169</v>
      </c>
      <c r="B101" s="40" t="s">
        <v>103</v>
      </c>
      <c r="C101" s="69" t="s">
        <v>96</v>
      </c>
      <c r="D101" s="71">
        <v>9</v>
      </c>
      <c r="E101" s="71">
        <v>39.01</v>
      </c>
      <c r="F101" s="46">
        <f t="shared" si="15"/>
        <v>47.59</v>
      </c>
      <c r="G101" s="46">
        <f t="shared" si="16"/>
        <v>428.31</v>
      </c>
      <c r="H101" s="47" t="s">
        <v>42</v>
      </c>
      <c r="I101" s="113">
        <v>5213362</v>
      </c>
    </row>
    <row r="102" spans="1:9" s="34" customFormat="1" ht="12.75" customHeight="1" x14ac:dyDescent="0.2">
      <c r="A102" s="70" t="s">
        <v>170</v>
      </c>
      <c r="B102" s="40" t="s">
        <v>104</v>
      </c>
      <c r="C102" s="69" t="s">
        <v>96</v>
      </c>
      <c r="D102" s="71">
        <v>152</v>
      </c>
      <c r="E102" s="71">
        <v>37.08</v>
      </c>
      <c r="F102" s="46">
        <f t="shared" si="15"/>
        <v>45.24</v>
      </c>
      <c r="G102" s="46">
        <f t="shared" si="16"/>
        <v>6876.48</v>
      </c>
      <c r="H102" s="47" t="s">
        <v>42</v>
      </c>
      <c r="I102" s="113">
        <v>5213361</v>
      </c>
    </row>
    <row r="103" spans="1:9" s="34" customFormat="1" ht="12.75" customHeight="1" x14ac:dyDescent="0.2">
      <c r="A103" s="70" t="s">
        <v>171</v>
      </c>
      <c r="B103" s="40" t="s">
        <v>106</v>
      </c>
      <c r="C103" s="69" t="s">
        <v>96</v>
      </c>
      <c r="D103" s="71">
        <v>67</v>
      </c>
      <c r="E103" s="71">
        <v>14.03</v>
      </c>
      <c r="F103" s="46">
        <f t="shared" si="15"/>
        <v>17.12</v>
      </c>
      <c r="G103" s="46">
        <f t="shared" si="16"/>
        <v>1147.04</v>
      </c>
      <c r="H103" s="47" t="s">
        <v>42</v>
      </c>
      <c r="I103" s="113">
        <v>5213359</v>
      </c>
    </row>
    <row r="104" spans="1:9" s="34" customFormat="1" ht="12.75" customHeight="1" x14ac:dyDescent="0.2">
      <c r="A104" s="70" t="s">
        <v>171</v>
      </c>
      <c r="B104" s="40" t="s">
        <v>223</v>
      </c>
      <c r="C104" s="69" t="s">
        <v>96</v>
      </c>
      <c r="D104" s="71">
        <v>81</v>
      </c>
      <c r="E104" s="71">
        <v>85.48</v>
      </c>
      <c r="F104" s="46">
        <f t="shared" si="15"/>
        <v>104.29</v>
      </c>
      <c r="G104" s="46">
        <f t="shared" si="16"/>
        <v>8447.49</v>
      </c>
      <c r="H104" s="47" t="s">
        <v>52</v>
      </c>
      <c r="I104" s="113" t="s">
        <v>264</v>
      </c>
    </row>
    <row r="105" spans="1:9" s="8" customFormat="1" x14ac:dyDescent="0.2">
      <c r="A105" s="72"/>
      <c r="B105" s="73" t="s">
        <v>5</v>
      </c>
      <c r="C105" s="74"/>
      <c r="D105" s="172"/>
      <c r="E105" s="35"/>
      <c r="F105" s="35"/>
      <c r="G105" s="35">
        <f>SUM(G99:G104)</f>
        <v>31874.82</v>
      </c>
      <c r="H105" s="75"/>
      <c r="I105" s="117"/>
    </row>
    <row r="106" spans="1:9" s="6" customFormat="1" ht="13.5" thickBot="1" x14ac:dyDescent="0.25">
      <c r="A106" s="18"/>
      <c r="B106" s="19" t="s">
        <v>9</v>
      </c>
      <c r="C106" s="20"/>
      <c r="D106" s="21"/>
      <c r="E106" s="21"/>
      <c r="F106" s="21"/>
      <c r="G106" s="22">
        <f>SUM(G105+G91+G97+G88)</f>
        <v>492415.96</v>
      </c>
      <c r="H106" s="76"/>
      <c r="I106" s="77"/>
    </row>
    <row r="107" spans="1:9" x14ac:dyDescent="0.2">
      <c r="A107" s="119" t="s">
        <v>3</v>
      </c>
      <c r="B107" s="10" t="s">
        <v>261</v>
      </c>
      <c r="C107" s="9"/>
      <c r="D107" s="11"/>
      <c r="E107" s="11"/>
      <c r="F107" s="11"/>
      <c r="G107" s="11"/>
      <c r="I107" s="118"/>
    </row>
    <row r="108" spans="1:9" x14ac:dyDescent="0.2">
      <c r="A108" s="119" t="s">
        <v>45</v>
      </c>
      <c r="B108" s="79" t="s">
        <v>119</v>
      </c>
      <c r="C108" s="9"/>
      <c r="D108" s="11" t="s">
        <v>259</v>
      </c>
      <c r="E108" s="11"/>
      <c r="F108" s="13" t="s">
        <v>20</v>
      </c>
      <c r="G108" s="12">
        <v>0.22</v>
      </c>
      <c r="I108" s="118"/>
    </row>
    <row r="109" spans="1:9" s="162" customFormat="1" ht="13.5" thickBot="1" x14ac:dyDescent="0.25">
      <c r="A109" s="163"/>
      <c r="B109" s="159"/>
      <c r="C109" s="158"/>
      <c r="D109" s="160"/>
      <c r="E109" s="160"/>
      <c r="F109" s="160"/>
      <c r="G109" s="160"/>
      <c r="H109" s="161"/>
      <c r="I109" s="164"/>
    </row>
    <row r="110" spans="1:9" s="39" customFormat="1" ht="18" customHeight="1" x14ac:dyDescent="0.2">
      <c r="A110" s="54" t="s">
        <v>0</v>
      </c>
      <c r="B110" s="55" t="s">
        <v>1</v>
      </c>
      <c r="C110" s="55" t="s">
        <v>8</v>
      </c>
      <c r="D110" s="56" t="s">
        <v>2</v>
      </c>
      <c r="E110" s="56" t="s">
        <v>21</v>
      </c>
      <c r="F110" s="56" t="s">
        <v>14</v>
      </c>
      <c r="G110" s="56" t="s">
        <v>16</v>
      </c>
      <c r="H110" s="56" t="s">
        <v>24</v>
      </c>
      <c r="I110" s="111" t="s">
        <v>23</v>
      </c>
    </row>
    <row r="111" spans="1:9" s="14" customFormat="1" x14ac:dyDescent="0.2">
      <c r="A111" s="57" t="s">
        <v>172</v>
      </c>
      <c r="B111" s="58" t="s">
        <v>17</v>
      </c>
      <c r="C111" s="59"/>
      <c r="D111" s="60"/>
      <c r="E111" s="60"/>
      <c r="F111" s="60"/>
      <c r="G111" s="60"/>
      <c r="H111" s="61"/>
      <c r="I111" s="112"/>
    </row>
    <row r="112" spans="1:9" ht="14.25" customHeight="1" x14ac:dyDescent="0.2">
      <c r="A112" s="43" t="s">
        <v>173</v>
      </c>
      <c r="B112" s="42" t="s">
        <v>48</v>
      </c>
      <c r="C112" s="44" t="s">
        <v>6</v>
      </c>
      <c r="D112" s="45">
        <f>2*1.25</f>
        <v>2.5</v>
      </c>
      <c r="E112" s="46">
        <v>302.64</v>
      </c>
      <c r="F112" s="46">
        <f>ROUND(E112*(1+$G$3),2)</f>
        <v>369.22</v>
      </c>
      <c r="G112" s="46">
        <f>ROUND(D112*F112,2)</f>
        <v>923.05</v>
      </c>
      <c r="H112" s="47" t="s">
        <v>25</v>
      </c>
      <c r="I112" s="113" t="s">
        <v>22</v>
      </c>
    </row>
    <row r="113" spans="1:9" ht="25.5" x14ac:dyDescent="0.2">
      <c r="A113" s="43" t="s">
        <v>174</v>
      </c>
      <c r="B113" s="42" t="s">
        <v>18</v>
      </c>
      <c r="C113" s="44" t="s">
        <v>6</v>
      </c>
      <c r="D113" s="150">
        <v>15076.35</v>
      </c>
      <c r="E113" s="46">
        <v>0.34</v>
      </c>
      <c r="F113" s="46">
        <f>ROUND(E113*(1+$G$3),2)</f>
        <v>0.41</v>
      </c>
      <c r="G113" s="46">
        <f>ROUND(D113*F113,2)</f>
        <v>6181.3</v>
      </c>
      <c r="H113" s="47" t="s">
        <v>25</v>
      </c>
      <c r="I113" s="113">
        <v>78472</v>
      </c>
    </row>
    <row r="114" spans="1:9" ht="38.25" x14ac:dyDescent="0.2">
      <c r="A114" s="43" t="s">
        <v>175</v>
      </c>
      <c r="B114" s="42" t="s">
        <v>114</v>
      </c>
      <c r="C114" s="44" t="s">
        <v>49</v>
      </c>
      <c r="D114" s="45">
        <v>3.12</v>
      </c>
      <c r="E114" s="46">
        <v>150.41</v>
      </c>
      <c r="F114" s="46">
        <f>ROUND(E114*(1+$G$3),2)</f>
        <v>183.5</v>
      </c>
      <c r="G114" s="46">
        <f>ROUND(D114*F114,2)</f>
        <v>572.52</v>
      </c>
      <c r="H114" s="47" t="s">
        <v>25</v>
      </c>
      <c r="I114" s="113">
        <v>5901</v>
      </c>
    </row>
    <row r="115" spans="1:9" s="7" customFormat="1" x14ac:dyDescent="0.2">
      <c r="A115" s="50"/>
      <c r="B115" s="51" t="s">
        <v>5</v>
      </c>
      <c r="C115" s="52"/>
      <c r="D115" s="30"/>
      <c r="E115" s="38"/>
      <c r="F115" s="38"/>
      <c r="G115" s="38">
        <f>SUM(G112:G114)</f>
        <v>7676.8700000000008</v>
      </c>
      <c r="H115" s="53"/>
      <c r="I115" s="114"/>
    </row>
    <row r="116" spans="1:9" s="15" customFormat="1" x14ac:dyDescent="0.2">
      <c r="A116" s="57" t="s">
        <v>176</v>
      </c>
      <c r="B116" s="58" t="s">
        <v>95</v>
      </c>
      <c r="C116" s="62"/>
      <c r="D116" s="63"/>
      <c r="E116" s="63"/>
      <c r="F116" s="63"/>
      <c r="G116" s="63"/>
      <c r="H116" s="64"/>
      <c r="I116" s="115"/>
    </row>
    <row r="117" spans="1:9" x14ac:dyDescent="0.2">
      <c r="A117" s="78" t="s">
        <v>177</v>
      </c>
      <c r="B117" s="41" t="s">
        <v>112</v>
      </c>
      <c r="C117" s="44" t="s">
        <v>96</v>
      </c>
      <c r="D117" s="45">
        <v>70</v>
      </c>
      <c r="E117" s="46">
        <f>Composições!E7</f>
        <v>22.104599999999998</v>
      </c>
      <c r="F117" s="49">
        <f>ROUND(E117*(1+$G$3),2)</f>
        <v>26.97</v>
      </c>
      <c r="G117" s="49">
        <f t="shared" ref="G117" si="17">ROUND(D117*F117,2)</f>
        <v>1887.9</v>
      </c>
      <c r="H117" s="47" t="s">
        <v>52</v>
      </c>
      <c r="I117" s="113" t="s">
        <v>26</v>
      </c>
    </row>
    <row r="118" spans="1:9" s="7" customFormat="1" x14ac:dyDescent="0.2">
      <c r="A118" s="50"/>
      <c r="B118" s="51" t="s">
        <v>5</v>
      </c>
      <c r="C118" s="52"/>
      <c r="D118" s="30"/>
      <c r="E118" s="38"/>
      <c r="F118" s="48"/>
      <c r="G118" s="38">
        <f>SUM(G117:G117)</f>
        <v>1887.9</v>
      </c>
      <c r="H118" s="53"/>
      <c r="I118" s="114"/>
    </row>
    <row r="119" spans="1:9" s="15" customFormat="1" x14ac:dyDescent="0.2">
      <c r="A119" s="57" t="s">
        <v>178</v>
      </c>
      <c r="B119" s="58" t="s">
        <v>13</v>
      </c>
      <c r="C119" s="62"/>
      <c r="D119" s="63"/>
      <c r="E119" s="63"/>
      <c r="F119" s="63"/>
      <c r="G119" s="63"/>
      <c r="H119" s="64"/>
      <c r="I119" s="115"/>
    </row>
    <row r="120" spans="1:9" x14ac:dyDescent="0.2">
      <c r="A120" s="78" t="s">
        <v>179</v>
      </c>
      <c r="B120" s="41" t="s">
        <v>110</v>
      </c>
      <c r="C120" s="44" t="s">
        <v>6</v>
      </c>
      <c r="D120" s="45">
        <v>400.56</v>
      </c>
      <c r="E120" s="46">
        <f>Composições!E19</f>
        <v>64.261499999999998</v>
      </c>
      <c r="F120" s="49">
        <f t="shared" ref="F120:F125" si="18">ROUND(E120*(1+$G$3),2)</f>
        <v>78.400000000000006</v>
      </c>
      <c r="G120" s="49">
        <f t="shared" ref="G120:G125" si="19">ROUND(D120*F120,2)</f>
        <v>31403.9</v>
      </c>
      <c r="H120" s="47" t="s">
        <v>52</v>
      </c>
      <c r="I120" s="113" t="s">
        <v>27</v>
      </c>
    </row>
    <row r="121" spans="1:9" x14ac:dyDescent="0.2">
      <c r="A121" s="78" t="s">
        <v>181</v>
      </c>
      <c r="B121" s="41" t="s">
        <v>40</v>
      </c>
      <c r="C121" s="44" t="s">
        <v>6</v>
      </c>
      <c r="D121" s="150">
        <v>29015.94</v>
      </c>
      <c r="E121" s="46">
        <v>1.3</v>
      </c>
      <c r="F121" s="49">
        <f t="shared" si="18"/>
        <v>1.59</v>
      </c>
      <c r="G121" s="49">
        <f t="shared" si="19"/>
        <v>46135.34</v>
      </c>
      <c r="H121" s="47" t="s">
        <v>25</v>
      </c>
      <c r="I121" s="113">
        <v>72943</v>
      </c>
    </row>
    <row r="122" spans="1:9" x14ac:dyDescent="0.2">
      <c r="A122" s="78" t="s">
        <v>182</v>
      </c>
      <c r="B122" s="41" t="s">
        <v>266</v>
      </c>
      <c r="C122" s="44" t="s">
        <v>7</v>
      </c>
      <c r="D122" s="45">
        <v>1450.8</v>
      </c>
      <c r="E122" s="46">
        <v>690.21</v>
      </c>
      <c r="F122" s="49">
        <f t="shared" si="18"/>
        <v>842.06</v>
      </c>
      <c r="G122" s="49">
        <f t="shared" si="19"/>
        <v>1221660.6499999999</v>
      </c>
      <c r="H122" s="47" t="s">
        <v>25</v>
      </c>
      <c r="I122" s="113">
        <v>95995</v>
      </c>
    </row>
    <row r="123" spans="1:9" x14ac:dyDescent="0.2">
      <c r="A123" s="78" t="s">
        <v>183</v>
      </c>
      <c r="B123" s="41" t="s">
        <v>43</v>
      </c>
      <c r="C123" s="44" t="s">
        <v>47</v>
      </c>
      <c r="D123" s="45">
        <v>37720.800000000003</v>
      </c>
      <c r="E123" s="46">
        <v>0.91</v>
      </c>
      <c r="F123" s="49">
        <f t="shared" si="18"/>
        <v>1.1100000000000001</v>
      </c>
      <c r="G123" s="49">
        <f t="shared" si="19"/>
        <v>41870.089999999997</v>
      </c>
      <c r="H123" s="47" t="s">
        <v>25</v>
      </c>
      <c r="I123" s="113">
        <v>95303</v>
      </c>
    </row>
    <row r="124" spans="1:9" x14ac:dyDescent="0.2">
      <c r="A124" s="78" t="s">
        <v>182</v>
      </c>
      <c r="B124" s="41" t="s">
        <v>241</v>
      </c>
      <c r="C124" s="44" t="s">
        <v>6</v>
      </c>
      <c r="D124" s="45">
        <v>401.68</v>
      </c>
      <c r="E124" s="46">
        <v>53.97</v>
      </c>
      <c r="F124" s="49">
        <f t="shared" si="18"/>
        <v>65.84</v>
      </c>
      <c r="G124" s="49">
        <f t="shared" si="19"/>
        <v>26446.61</v>
      </c>
      <c r="H124" s="47" t="s">
        <v>25</v>
      </c>
      <c r="I124" s="113">
        <v>92398</v>
      </c>
    </row>
    <row r="125" spans="1:9" x14ac:dyDescent="0.2">
      <c r="A125" s="78" t="s">
        <v>250</v>
      </c>
      <c r="B125" s="41" t="s">
        <v>248</v>
      </c>
      <c r="C125" s="44" t="s">
        <v>7</v>
      </c>
      <c r="D125" s="45">
        <v>8.66</v>
      </c>
      <c r="E125" s="46">
        <f>Composições!E45</f>
        <v>591.66666666666674</v>
      </c>
      <c r="F125" s="49">
        <f t="shared" si="18"/>
        <v>721.83</v>
      </c>
      <c r="G125" s="49">
        <f t="shared" si="19"/>
        <v>6251.05</v>
      </c>
      <c r="H125" s="47" t="s">
        <v>52</v>
      </c>
      <c r="I125" s="113" t="s">
        <v>251</v>
      </c>
    </row>
    <row r="126" spans="1:9" s="7" customFormat="1" x14ac:dyDescent="0.2">
      <c r="A126" s="50"/>
      <c r="B126" s="51" t="s">
        <v>5</v>
      </c>
      <c r="C126" s="52"/>
      <c r="D126" s="30"/>
      <c r="E126" s="38"/>
      <c r="F126" s="48"/>
      <c r="G126" s="38">
        <f>SUM(G120:G125)</f>
        <v>1373767.6400000001</v>
      </c>
      <c r="H126" s="53"/>
      <c r="I126" s="114"/>
    </row>
    <row r="127" spans="1:9" s="34" customFormat="1" x14ac:dyDescent="0.2">
      <c r="A127" s="57" t="s">
        <v>184</v>
      </c>
      <c r="B127" s="65" t="s">
        <v>41</v>
      </c>
      <c r="C127" s="66"/>
      <c r="D127" s="171"/>
      <c r="E127" s="67"/>
      <c r="F127" s="67"/>
      <c r="G127" s="68"/>
      <c r="H127" s="68"/>
      <c r="I127" s="116"/>
    </row>
    <row r="128" spans="1:9" s="34" customFormat="1" ht="12.75" customHeight="1" x14ac:dyDescent="0.2">
      <c r="A128" s="70" t="s">
        <v>185</v>
      </c>
      <c r="B128" s="40" t="s">
        <v>71</v>
      </c>
      <c r="C128" s="69" t="s">
        <v>6</v>
      </c>
      <c r="D128" s="71">
        <v>269.3</v>
      </c>
      <c r="E128" s="71">
        <v>42.12</v>
      </c>
      <c r="F128" s="46">
        <f t="shared" ref="F128:F135" si="20">ROUND(E128*(1+$G$3),2)</f>
        <v>51.39</v>
      </c>
      <c r="G128" s="46">
        <f t="shared" ref="G128:G135" si="21">ROUND(D128*F128,2)</f>
        <v>13839.33</v>
      </c>
      <c r="H128" s="47" t="s">
        <v>42</v>
      </c>
      <c r="I128" s="113">
        <v>5214003</v>
      </c>
    </row>
    <row r="129" spans="1:9" s="34" customFormat="1" ht="12.75" customHeight="1" x14ac:dyDescent="0.2">
      <c r="A129" s="70" t="s">
        <v>186</v>
      </c>
      <c r="B129" s="40" t="s">
        <v>228</v>
      </c>
      <c r="C129" s="69" t="s">
        <v>6</v>
      </c>
      <c r="D129" s="71">
        <v>820.01</v>
      </c>
      <c r="E129" s="71">
        <v>34.68</v>
      </c>
      <c r="F129" s="46">
        <f t="shared" si="20"/>
        <v>42.31</v>
      </c>
      <c r="G129" s="46">
        <f>ROUND(D129*F129,2)</f>
        <v>34694.620000000003</v>
      </c>
      <c r="H129" s="47" t="s">
        <v>42</v>
      </c>
      <c r="I129" s="113">
        <v>5213413</v>
      </c>
    </row>
    <row r="130" spans="1:9" s="34" customFormat="1" ht="12.75" customHeight="1" x14ac:dyDescent="0.2">
      <c r="A130" s="70" t="s">
        <v>187</v>
      </c>
      <c r="B130" s="40" t="s">
        <v>103</v>
      </c>
      <c r="C130" s="69" t="s">
        <v>96</v>
      </c>
      <c r="D130" s="71">
        <v>89</v>
      </c>
      <c r="E130" s="71">
        <v>39.01</v>
      </c>
      <c r="F130" s="46">
        <f t="shared" si="20"/>
        <v>47.59</v>
      </c>
      <c r="G130" s="46">
        <f t="shared" si="21"/>
        <v>4235.51</v>
      </c>
      <c r="H130" s="47" t="s">
        <v>42</v>
      </c>
      <c r="I130" s="113">
        <v>5213362</v>
      </c>
    </row>
    <row r="131" spans="1:9" s="34" customFormat="1" ht="12.75" customHeight="1" x14ac:dyDescent="0.2">
      <c r="A131" s="70" t="s">
        <v>188</v>
      </c>
      <c r="B131" s="40" t="s">
        <v>104</v>
      </c>
      <c r="C131" s="69" t="s">
        <v>96</v>
      </c>
      <c r="D131" s="71">
        <v>285</v>
      </c>
      <c r="E131" s="71">
        <v>37.799999999999997</v>
      </c>
      <c r="F131" s="46">
        <f t="shared" si="20"/>
        <v>46.12</v>
      </c>
      <c r="G131" s="46">
        <f t="shared" si="21"/>
        <v>13144.2</v>
      </c>
      <c r="H131" s="47" t="s">
        <v>42</v>
      </c>
      <c r="I131" s="113">
        <v>5213361</v>
      </c>
    </row>
    <row r="132" spans="1:9" s="34" customFormat="1" ht="12.75" customHeight="1" x14ac:dyDescent="0.2">
      <c r="A132" s="70" t="s">
        <v>189</v>
      </c>
      <c r="B132" s="40" t="s">
        <v>105</v>
      </c>
      <c r="C132" s="69" t="s">
        <v>96</v>
      </c>
      <c r="D132" s="71">
        <v>134</v>
      </c>
      <c r="E132" s="71">
        <v>17.8</v>
      </c>
      <c r="F132" s="46">
        <f t="shared" si="20"/>
        <v>21.72</v>
      </c>
      <c r="G132" s="46">
        <f t="shared" si="21"/>
        <v>2910.48</v>
      </c>
      <c r="H132" s="47" t="s">
        <v>42</v>
      </c>
      <c r="I132" s="113">
        <v>5213360</v>
      </c>
    </row>
    <row r="133" spans="1:9" s="34" customFormat="1" ht="12.75" customHeight="1" x14ac:dyDescent="0.2">
      <c r="A133" s="70" t="s">
        <v>190</v>
      </c>
      <c r="B133" s="40" t="s">
        <v>106</v>
      </c>
      <c r="C133" s="69" t="s">
        <v>96</v>
      </c>
      <c r="D133" s="71">
        <v>57</v>
      </c>
      <c r="E133" s="71">
        <v>14.03</v>
      </c>
      <c r="F133" s="46">
        <f t="shared" si="20"/>
        <v>17.12</v>
      </c>
      <c r="G133" s="46">
        <f t="shared" si="21"/>
        <v>975.84</v>
      </c>
      <c r="H133" s="47" t="s">
        <v>42</v>
      </c>
      <c r="I133" s="113">
        <v>5213359</v>
      </c>
    </row>
    <row r="134" spans="1:9" s="157" customFormat="1" ht="12.75" customHeight="1" x14ac:dyDescent="0.2">
      <c r="A134" s="151" t="s">
        <v>190</v>
      </c>
      <c r="B134" s="152" t="s">
        <v>239</v>
      </c>
      <c r="C134" s="153" t="s">
        <v>96</v>
      </c>
      <c r="D134" s="154">
        <v>12</v>
      </c>
      <c r="E134" s="154">
        <f>Composições!E32</f>
        <v>119.40370480000001</v>
      </c>
      <c r="F134" s="45">
        <f t="shared" si="20"/>
        <v>145.66999999999999</v>
      </c>
      <c r="G134" s="45">
        <f t="shared" si="21"/>
        <v>1748.04</v>
      </c>
      <c r="H134" s="155" t="s">
        <v>52</v>
      </c>
      <c r="I134" s="156" t="s">
        <v>240</v>
      </c>
    </row>
    <row r="135" spans="1:9" s="157" customFormat="1" ht="12.75" customHeight="1" x14ac:dyDescent="0.2">
      <c r="A135" s="151" t="s">
        <v>190</v>
      </c>
      <c r="B135" s="152" t="s">
        <v>223</v>
      </c>
      <c r="C135" s="153" t="s">
        <v>96</v>
      </c>
      <c r="D135" s="154">
        <v>158</v>
      </c>
      <c r="E135" s="154">
        <v>85.48</v>
      </c>
      <c r="F135" s="45">
        <f t="shared" si="20"/>
        <v>104.29</v>
      </c>
      <c r="G135" s="45">
        <f t="shared" si="21"/>
        <v>16477.82</v>
      </c>
      <c r="H135" s="155" t="s">
        <v>52</v>
      </c>
      <c r="I135" s="156" t="s">
        <v>264</v>
      </c>
    </row>
    <row r="136" spans="1:9" s="8" customFormat="1" x14ac:dyDescent="0.2">
      <c r="A136" s="72"/>
      <c r="B136" s="73" t="s">
        <v>5</v>
      </c>
      <c r="C136" s="74"/>
      <c r="D136" s="172"/>
      <c r="E136" s="35"/>
      <c r="F136" s="35"/>
      <c r="G136" s="35">
        <f>SUM(G128:G135)</f>
        <v>88025.84</v>
      </c>
      <c r="H136" s="75"/>
      <c r="I136" s="117"/>
    </row>
    <row r="137" spans="1:9" s="6" customFormat="1" ht="13.5" thickBot="1" x14ac:dyDescent="0.25">
      <c r="A137" s="18"/>
      <c r="B137" s="19" t="s">
        <v>9</v>
      </c>
      <c r="C137" s="20"/>
      <c r="D137" s="21"/>
      <c r="E137" s="21"/>
      <c r="F137" s="21"/>
      <c r="G137" s="22">
        <f>SUM(G136+G118+G126+G115)</f>
        <v>1471358.2500000002</v>
      </c>
      <c r="H137" s="76"/>
      <c r="I137" s="77"/>
    </row>
    <row r="138" spans="1:9" x14ac:dyDescent="0.2">
      <c r="A138" s="119" t="s">
        <v>3</v>
      </c>
      <c r="B138" s="10" t="s">
        <v>260</v>
      </c>
      <c r="C138" s="9"/>
      <c r="D138" s="11"/>
      <c r="E138" s="11"/>
      <c r="F138" s="11"/>
      <c r="G138" s="11"/>
      <c r="I138" s="118"/>
    </row>
    <row r="139" spans="1:9" x14ac:dyDescent="0.2">
      <c r="A139" s="119" t="s">
        <v>45</v>
      </c>
      <c r="B139" s="182" t="s">
        <v>120</v>
      </c>
      <c r="C139" s="9"/>
      <c r="D139" s="11" t="s">
        <v>259</v>
      </c>
      <c r="E139" s="11"/>
      <c r="F139" s="13" t="s">
        <v>20</v>
      </c>
      <c r="G139" s="12">
        <v>0.22</v>
      </c>
      <c r="I139" s="118"/>
    </row>
    <row r="140" spans="1:9" s="170" customFormat="1" ht="13.5" thickBot="1" x14ac:dyDescent="0.25">
      <c r="A140" s="165"/>
      <c r="B140" s="183"/>
      <c r="C140" s="166"/>
      <c r="D140" s="160"/>
      <c r="E140" s="167"/>
      <c r="F140" s="167"/>
      <c r="G140" s="167"/>
      <c r="H140" s="168"/>
      <c r="I140" s="169"/>
    </row>
    <row r="141" spans="1:9" s="39" customFormat="1" ht="18" customHeight="1" x14ac:dyDescent="0.2">
      <c r="A141" s="54" t="s">
        <v>0</v>
      </c>
      <c r="B141" s="55" t="s">
        <v>1</v>
      </c>
      <c r="C141" s="55" t="s">
        <v>8</v>
      </c>
      <c r="D141" s="56" t="s">
        <v>2</v>
      </c>
      <c r="E141" s="56" t="s">
        <v>21</v>
      </c>
      <c r="F141" s="56" t="s">
        <v>14</v>
      </c>
      <c r="G141" s="56" t="s">
        <v>16</v>
      </c>
      <c r="H141" s="56" t="s">
        <v>24</v>
      </c>
      <c r="I141" s="111" t="s">
        <v>23</v>
      </c>
    </row>
    <row r="142" spans="1:9" s="14" customFormat="1" x14ac:dyDescent="0.2">
      <c r="A142" s="57" t="s">
        <v>191</v>
      </c>
      <c r="B142" s="58" t="s">
        <v>17</v>
      </c>
      <c r="C142" s="59"/>
      <c r="D142" s="60"/>
      <c r="E142" s="60"/>
      <c r="F142" s="60"/>
      <c r="G142" s="60"/>
      <c r="H142" s="61"/>
      <c r="I142" s="112"/>
    </row>
    <row r="143" spans="1:9" ht="14.25" customHeight="1" x14ac:dyDescent="0.2">
      <c r="A143" s="43" t="s">
        <v>192</v>
      </c>
      <c r="B143" s="42" t="s">
        <v>48</v>
      </c>
      <c r="C143" s="44" t="s">
        <v>6</v>
      </c>
      <c r="D143" s="45">
        <f>2*1.25</f>
        <v>2.5</v>
      </c>
      <c r="E143" s="46">
        <v>302.64</v>
      </c>
      <c r="F143" s="46">
        <f>ROUND(E143*(1+$G$3),2)</f>
        <v>369.22</v>
      </c>
      <c r="G143" s="46">
        <f>ROUND(D143*F143,2)</f>
        <v>923.05</v>
      </c>
      <c r="H143" s="47" t="s">
        <v>25</v>
      </c>
      <c r="I143" s="113" t="s">
        <v>22</v>
      </c>
    </row>
    <row r="144" spans="1:9" ht="25.5" x14ac:dyDescent="0.2">
      <c r="A144" s="43" t="s">
        <v>193</v>
      </c>
      <c r="B144" s="42" t="s">
        <v>18</v>
      </c>
      <c r="C144" s="44" t="s">
        <v>6</v>
      </c>
      <c r="D144" s="150">
        <v>12511.31</v>
      </c>
      <c r="E144" s="46">
        <v>0.34</v>
      </c>
      <c r="F144" s="46">
        <f>ROUND(E144*(1+$G$3),2)</f>
        <v>0.41</v>
      </c>
      <c r="G144" s="46">
        <f t="shared" ref="G144:G145" si="22">ROUND(D144*F144,2)</f>
        <v>5129.6400000000003</v>
      </c>
      <c r="H144" s="47" t="s">
        <v>25</v>
      </c>
      <c r="I144" s="113">
        <v>78472</v>
      </c>
    </row>
    <row r="145" spans="1:10" ht="38.25" x14ac:dyDescent="0.2">
      <c r="A145" s="43" t="s">
        <v>194</v>
      </c>
      <c r="B145" s="42" t="s">
        <v>114</v>
      </c>
      <c r="C145" s="44" t="s">
        <v>49</v>
      </c>
      <c r="D145" s="45">
        <v>2.79</v>
      </c>
      <c r="E145" s="46">
        <v>150.41</v>
      </c>
      <c r="F145" s="46">
        <f>ROUND(E145*(1+$G$3),2)</f>
        <v>183.5</v>
      </c>
      <c r="G145" s="46">
        <f t="shared" si="22"/>
        <v>511.97</v>
      </c>
      <c r="H145" s="47" t="s">
        <v>25</v>
      </c>
      <c r="I145" s="113">
        <v>5901</v>
      </c>
    </row>
    <row r="146" spans="1:10" s="7" customFormat="1" x14ac:dyDescent="0.2">
      <c r="A146" s="50"/>
      <c r="B146" s="51" t="s">
        <v>5</v>
      </c>
      <c r="C146" s="52"/>
      <c r="D146" s="30"/>
      <c r="E146" s="38"/>
      <c r="F146" s="38"/>
      <c r="G146" s="38">
        <f>SUM(G143:G145)</f>
        <v>6564.6600000000008</v>
      </c>
      <c r="H146" s="53"/>
      <c r="I146" s="114"/>
    </row>
    <row r="147" spans="1:10" s="15" customFormat="1" x14ac:dyDescent="0.2">
      <c r="A147" s="57" t="s">
        <v>195</v>
      </c>
      <c r="B147" s="58" t="s">
        <v>95</v>
      </c>
      <c r="C147" s="62"/>
      <c r="D147" s="63"/>
      <c r="E147" s="63"/>
      <c r="F147" s="63"/>
      <c r="G147" s="63"/>
      <c r="H147" s="64"/>
      <c r="I147" s="115"/>
    </row>
    <row r="148" spans="1:10" x14ac:dyDescent="0.2">
      <c r="A148" s="78" t="s">
        <v>196</v>
      </c>
      <c r="B148" s="41" t="s">
        <v>112</v>
      </c>
      <c r="C148" s="44" t="s">
        <v>96</v>
      </c>
      <c r="D148" s="45">
        <v>39</v>
      </c>
      <c r="E148" s="46">
        <f>Composições!E7</f>
        <v>22.104599999999998</v>
      </c>
      <c r="F148" s="49">
        <f>ROUND(E148*(1+$G$3),2)</f>
        <v>26.97</v>
      </c>
      <c r="G148" s="49">
        <f t="shared" ref="G148" si="23">ROUND(D148*F148,2)</f>
        <v>1051.83</v>
      </c>
      <c r="H148" s="47" t="s">
        <v>52</v>
      </c>
      <c r="I148" s="113" t="s">
        <v>26</v>
      </c>
      <c r="J148" s="39"/>
    </row>
    <row r="149" spans="1:10" s="7" customFormat="1" x14ac:dyDescent="0.2">
      <c r="A149" s="50"/>
      <c r="B149" s="51" t="s">
        <v>5</v>
      </c>
      <c r="C149" s="52"/>
      <c r="D149" s="30"/>
      <c r="E149" s="38"/>
      <c r="F149" s="48"/>
      <c r="G149" s="38">
        <f>SUM(G148:G148)</f>
        <v>1051.83</v>
      </c>
      <c r="H149" s="53"/>
      <c r="I149" s="114"/>
    </row>
    <row r="150" spans="1:10" s="15" customFormat="1" x14ac:dyDescent="0.2">
      <c r="A150" s="57" t="s">
        <v>197</v>
      </c>
      <c r="B150" s="58" t="s">
        <v>13</v>
      </c>
      <c r="C150" s="62"/>
      <c r="D150" s="63"/>
      <c r="E150" s="63"/>
      <c r="F150" s="63"/>
      <c r="G150" s="63"/>
      <c r="H150" s="64"/>
      <c r="I150" s="115"/>
    </row>
    <row r="151" spans="1:10" x14ac:dyDescent="0.2">
      <c r="A151" s="78" t="s">
        <v>198</v>
      </c>
      <c r="B151" s="41" t="s">
        <v>110</v>
      </c>
      <c r="C151" s="44" t="s">
        <v>6</v>
      </c>
      <c r="D151" s="45">
        <v>140.05000000000001</v>
      </c>
      <c r="E151" s="46">
        <f>Composições!E19</f>
        <v>64.261499999999998</v>
      </c>
      <c r="F151" s="49">
        <f>ROUND(E151*(1+$G$3),2)</f>
        <v>78.400000000000006</v>
      </c>
      <c r="G151" s="49">
        <f t="shared" ref="G151:G154" si="24">ROUND(D151*F151,2)</f>
        <v>10979.92</v>
      </c>
      <c r="H151" s="47" t="s">
        <v>52</v>
      </c>
      <c r="I151" s="113" t="s">
        <v>27</v>
      </c>
    </row>
    <row r="152" spans="1:10" x14ac:dyDescent="0.2">
      <c r="A152" s="78" t="s">
        <v>200</v>
      </c>
      <c r="B152" s="41" t="s">
        <v>40</v>
      </c>
      <c r="C152" s="44" t="s">
        <v>6</v>
      </c>
      <c r="D152" s="45">
        <v>12511.31</v>
      </c>
      <c r="E152" s="46">
        <v>1.3</v>
      </c>
      <c r="F152" s="49">
        <f>ROUND(E152*(1+$G$3),2)</f>
        <v>1.59</v>
      </c>
      <c r="G152" s="49">
        <f t="shared" si="24"/>
        <v>19892.98</v>
      </c>
      <c r="H152" s="47" t="s">
        <v>25</v>
      </c>
      <c r="I152" s="113">
        <v>72943</v>
      </c>
    </row>
    <row r="153" spans="1:10" x14ac:dyDescent="0.2">
      <c r="A153" s="78" t="s">
        <v>201</v>
      </c>
      <c r="B153" s="41" t="s">
        <v>265</v>
      </c>
      <c r="C153" s="44" t="s">
        <v>7</v>
      </c>
      <c r="D153" s="45">
        <v>938.35</v>
      </c>
      <c r="E153" s="46">
        <v>672.28</v>
      </c>
      <c r="F153" s="49">
        <f>ROUND(E153*(1+$G$3),2)</f>
        <v>820.18</v>
      </c>
      <c r="G153" s="49">
        <f t="shared" si="24"/>
        <v>769615.9</v>
      </c>
      <c r="H153" s="47" t="s">
        <v>25</v>
      </c>
      <c r="I153" s="113">
        <v>95995</v>
      </c>
    </row>
    <row r="154" spans="1:10" x14ac:dyDescent="0.2">
      <c r="A154" s="78" t="s">
        <v>202</v>
      </c>
      <c r="B154" s="41" t="s">
        <v>43</v>
      </c>
      <c r="C154" s="44" t="s">
        <v>47</v>
      </c>
      <c r="D154" s="45">
        <v>24397.05</v>
      </c>
      <c r="E154" s="46">
        <v>0.91</v>
      </c>
      <c r="F154" s="49">
        <f>ROUND(E154*(1+$G$3),2)</f>
        <v>1.1100000000000001</v>
      </c>
      <c r="G154" s="49">
        <f t="shared" si="24"/>
        <v>27080.73</v>
      </c>
      <c r="H154" s="47" t="s">
        <v>25</v>
      </c>
      <c r="I154" s="113">
        <v>95303</v>
      </c>
    </row>
    <row r="155" spans="1:10" s="7" customFormat="1" x14ac:dyDescent="0.2">
      <c r="A155" s="50"/>
      <c r="B155" s="51" t="s">
        <v>5</v>
      </c>
      <c r="C155" s="52"/>
      <c r="D155" s="30"/>
      <c r="E155" s="38"/>
      <c r="F155" s="48"/>
      <c r="G155" s="38">
        <f>SUM(G151:G154)</f>
        <v>827569.53</v>
      </c>
      <c r="H155" s="53"/>
      <c r="I155" s="114"/>
    </row>
    <row r="156" spans="1:10" s="34" customFormat="1" x14ac:dyDescent="0.2">
      <c r="A156" s="57" t="s">
        <v>203</v>
      </c>
      <c r="B156" s="65" t="s">
        <v>41</v>
      </c>
      <c r="C156" s="66"/>
      <c r="D156" s="171"/>
      <c r="E156" s="67"/>
      <c r="F156" s="67"/>
      <c r="G156" s="68"/>
      <c r="H156" s="68"/>
      <c r="I156" s="116"/>
    </row>
    <row r="157" spans="1:10" s="34" customFormat="1" ht="12.75" customHeight="1" x14ac:dyDescent="0.2">
      <c r="A157" s="70" t="s">
        <v>204</v>
      </c>
      <c r="B157" s="40" t="s">
        <v>71</v>
      </c>
      <c r="C157" s="69" t="s">
        <v>6</v>
      </c>
      <c r="D157" s="71">
        <v>184.07</v>
      </c>
      <c r="E157" s="71">
        <v>42.12</v>
      </c>
      <c r="F157" s="46">
        <f>ROUND(E157*(1+$G$3),2)</f>
        <v>51.39</v>
      </c>
      <c r="G157" s="46">
        <f t="shared" ref="G157:G161" si="25">ROUND(D157*F157,2)</f>
        <v>9459.36</v>
      </c>
      <c r="H157" s="47" t="s">
        <v>42</v>
      </c>
      <c r="I157" s="113">
        <v>5214003</v>
      </c>
    </row>
    <row r="158" spans="1:10" s="34" customFormat="1" ht="12.75" customHeight="1" x14ac:dyDescent="0.2">
      <c r="A158" s="70" t="s">
        <v>205</v>
      </c>
      <c r="B158" s="40" t="s">
        <v>70</v>
      </c>
      <c r="C158" s="69" t="s">
        <v>6</v>
      </c>
      <c r="D158" s="71">
        <v>819.23</v>
      </c>
      <c r="E158" s="71">
        <v>34.68</v>
      </c>
      <c r="F158" s="46">
        <f>ROUND(E158*(1+$G$3),2)</f>
        <v>42.31</v>
      </c>
      <c r="G158" s="46">
        <f>ROUND(D158*F158,2)</f>
        <v>34661.620000000003</v>
      </c>
      <c r="H158" s="47" t="s">
        <v>42</v>
      </c>
      <c r="I158" s="113">
        <v>5213413</v>
      </c>
    </row>
    <row r="159" spans="1:10" s="34" customFormat="1" ht="12.75" customHeight="1" x14ac:dyDescent="0.2">
      <c r="A159" s="70" t="s">
        <v>206</v>
      </c>
      <c r="B159" s="40" t="s">
        <v>104</v>
      </c>
      <c r="C159" s="69" t="s">
        <v>96</v>
      </c>
      <c r="D159" s="71">
        <v>336</v>
      </c>
      <c r="E159" s="71">
        <v>37.08</v>
      </c>
      <c r="F159" s="46">
        <f>ROUND(E159*(1+$G$3),2)</f>
        <v>45.24</v>
      </c>
      <c r="G159" s="46">
        <f t="shared" si="25"/>
        <v>15200.64</v>
      </c>
      <c r="H159" s="47" t="s">
        <v>42</v>
      </c>
      <c r="I159" s="113">
        <v>5213361</v>
      </c>
    </row>
    <row r="160" spans="1:10" s="34" customFormat="1" ht="12.75" customHeight="1" x14ac:dyDescent="0.2">
      <c r="A160" s="70" t="s">
        <v>226</v>
      </c>
      <c r="B160" s="40" t="s">
        <v>106</v>
      </c>
      <c r="C160" s="69" t="s">
        <v>96</v>
      </c>
      <c r="D160" s="71">
        <v>177</v>
      </c>
      <c r="E160" s="71">
        <v>14.03</v>
      </c>
      <c r="F160" s="46">
        <f>ROUND(E160*(1+$G$3),2)</f>
        <v>17.12</v>
      </c>
      <c r="G160" s="46">
        <f t="shared" si="25"/>
        <v>3030.24</v>
      </c>
      <c r="H160" s="47" t="s">
        <v>42</v>
      </c>
      <c r="I160" s="113">
        <v>5213359</v>
      </c>
    </row>
    <row r="161" spans="1:9" s="34" customFormat="1" ht="12.75" customHeight="1" x14ac:dyDescent="0.2">
      <c r="A161" s="70" t="s">
        <v>227</v>
      </c>
      <c r="B161" s="40" t="s">
        <v>223</v>
      </c>
      <c r="C161" s="69" t="s">
        <v>96</v>
      </c>
      <c r="D161" s="71">
        <v>139</v>
      </c>
      <c r="E161" s="71">
        <v>85.48</v>
      </c>
      <c r="F161" s="46">
        <f>ROUND(E161*(1+$G$3),2)</f>
        <v>104.29</v>
      </c>
      <c r="G161" s="46">
        <f t="shared" si="25"/>
        <v>14496.31</v>
      </c>
      <c r="H161" s="47" t="s">
        <v>52</v>
      </c>
      <c r="I161" s="113" t="s">
        <v>264</v>
      </c>
    </row>
    <row r="162" spans="1:9" s="8" customFormat="1" x14ac:dyDescent="0.2">
      <c r="A162" s="72"/>
      <c r="B162" s="73" t="s">
        <v>5</v>
      </c>
      <c r="C162" s="74"/>
      <c r="D162" s="172"/>
      <c r="E162" s="35"/>
      <c r="F162" s="35"/>
      <c r="G162" s="35">
        <f>SUM(G157:G161)</f>
        <v>76848.17</v>
      </c>
      <c r="H162" s="75"/>
      <c r="I162" s="117"/>
    </row>
    <row r="163" spans="1:9" s="6" customFormat="1" ht="13.5" thickBot="1" x14ac:dyDescent="0.25">
      <c r="A163" s="18"/>
      <c r="B163" s="184" t="s">
        <v>9</v>
      </c>
      <c r="C163" s="185"/>
      <c r="D163" s="185"/>
      <c r="E163" s="185"/>
      <c r="F163" s="186"/>
      <c r="G163" s="22">
        <f>SUM(G162+G149+G155+G146)</f>
        <v>912034.19000000006</v>
      </c>
      <c r="H163" s="76"/>
      <c r="I163" s="77"/>
    </row>
    <row r="164" spans="1:9" s="6" customFormat="1" ht="13.5" thickBot="1" x14ac:dyDescent="0.25">
      <c r="A164" s="18"/>
      <c r="B164" s="187" t="s">
        <v>207</v>
      </c>
      <c r="C164" s="188"/>
      <c r="D164" s="188"/>
      <c r="E164" s="188"/>
      <c r="F164" s="189"/>
      <c r="G164" s="22">
        <f>G163+G137+G106+G79+G53</f>
        <v>4324562.75</v>
      </c>
      <c r="H164" s="76"/>
      <c r="I164" s="77"/>
    </row>
    <row r="165" spans="1:9" x14ac:dyDescent="0.2">
      <c r="A165" s="1" t="s">
        <v>258</v>
      </c>
      <c r="B165" s="4"/>
      <c r="C165" s="1"/>
      <c r="D165" s="2"/>
      <c r="E165" s="2"/>
      <c r="F165" s="2"/>
      <c r="G165" s="2"/>
    </row>
    <row r="167" spans="1:9" x14ac:dyDescent="0.2">
      <c r="I167" s="173"/>
    </row>
    <row r="212" spans="1:11" s="5" customFormat="1" x14ac:dyDescent="0.2">
      <c r="A212" s="17" t="s">
        <v>44</v>
      </c>
      <c r="C212"/>
      <c r="D212" s="3"/>
      <c r="E212" s="3"/>
      <c r="F212" s="3"/>
      <c r="G212" s="3"/>
      <c r="H212" s="16"/>
      <c r="I212" s="16"/>
      <c r="J212"/>
      <c r="K212"/>
    </row>
  </sheetData>
  <mergeCells count="4">
    <mergeCell ref="A1:I1"/>
    <mergeCell ref="B139:B140"/>
    <mergeCell ref="B163:F163"/>
    <mergeCell ref="B164:F164"/>
  </mergeCells>
  <pageMargins left="0.70866141732283472" right="1.1023622047244095" top="2.7165354330708662" bottom="0.74803149606299213" header="0.31496062992125984" footer="0.31496062992125984"/>
  <pageSetup scale="70" fitToWidth="0" orientation="landscape" verticalDpi="720" r:id="rId1"/>
  <rowBreaks count="4" manualBreakCount="4">
    <brk id="53" max="8" man="1"/>
    <brk id="79" max="8" man="1"/>
    <brk id="106" max="8" man="1"/>
    <brk id="13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showZeros="0" view="pageBreakPreview" topLeftCell="A40" zoomScaleSheetLayoutView="100" workbookViewId="0">
      <selection activeCell="A2" sqref="A2"/>
    </sheetView>
  </sheetViews>
  <sheetFormatPr defaultRowHeight="12.75" x14ac:dyDescent="0.2"/>
  <cols>
    <col min="1" max="1" width="11.7109375" bestFit="1" customWidth="1"/>
    <col min="2" max="2" width="9.5703125" bestFit="1" customWidth="1"/>
    <col min="3" max="3" width="59.5703125" bestFit="1" customWidth="1"/>
    <col min="4" max="4" width="7.28515625" bestFit="1" customWidth="1"/>
    <col min="5" max="5" width="14" customWidth="1"/>
    <col min="6" max="6" width="11.85546875" bestFit="1" customWidth="1"/>
    <col min="7" max="7" width="14" hidden="1" customWidth="1"/>
    <col min="8" max="8" width="7.28515625" hidden="1" customWidth="1"/>
    <col min="9" max="9" width="14" hidden="1" customWidth="1"/>
    <col min="10" max="10" width="8.28515625" style="24" hidden="1" customWidth="1"/>
    <col min="11" max="11" width="13.140625" bestFit="1" customWidth="1"/>
    <col min="12" max="12" width="6.140625" customWidth="1"/>
  </cols>
  <sheetData>
    <row r="1" spans="1:7" ht="21.75" thickBot="1" x14ac:dyDescent="0.4">
      <c r="A1" s="190" t="s">
        <v>53</v>
      </c>
      <c r="B1" s="191"/>
      <c r="C1" s="191"/>
      <c r="D1" s="191"/>
      <c r="E1" s="191"/>
      <c r="F1" s="191"/>
      <c r="G1" s="192"/>
    </row>
    <row r="2" spans="1:7" ht="31.5" x14ac:dyDescent="0.25">
      <c r="A2" s="80"/>
      <c r="B2" s="193" t="s">
        <v>113</v>
      </c>
      <c r="C2" s="194"/>
      <c r="D2" s="194"/>
      <c r="E2" s="194"/>
      <c r="F2" s="195"/>
      <c r="G2" s="81" t="s">
        <v>54</v>
      </c>
    </row>
    <row r="3" spans="1:7" ht="15" x14ac:dyDescent="0.25">
      <c r="A3" s="82" t="s">
        <v>55</v>
      </c>
      <c r="B3" s="83" t="s">
        <v>23</v>
      </c>
      <c r="C3" s="84" t="s">
        <v>56</v>
      </c>
      <c r="D3" s="83" t="s">
        <v>8</v>
      </c>
      <c r="E3" s="83" t="s">
        <v>57</v>
      </c>
      <c r="F3" s="83" t="s">
        <v>58</v>
      </c>
      <c r="G3" s="85" t="s">
        <v>59</v>
      </c>
    </row>
    <row r="4" spans="1:7" ht="24" x14ac:dyDescent="0.2">
      <c r="A4" s="89" t="s">
        <v>25</v>
      </c>
      <c r="B4" s="89">
        <v>72132</v>
      </c>
      <c r="C4" s="90" t="s">
        <v>99</v>
      </c>
      <c r="D4" s="91" t="s">
        <v>6</v>
      </c>
      <c r="E4" s="92">
        <v>1</v>
      </c>
      <c r="F4" s="92">
        <v>63.63</v>
      </c>
      <c r="G4" s="88">
        <v>5.43</v>
      </c>
    </row>
    <row r="5" spans="1:7" ht="48" x14ac:dyDescent="0.2">
      <c r="A5" s="89" t="s">
        <v>25</v>
      </c>
      <c r="B5" s="89">
        <v>87775</v>
      </c>
      <c r="C5" s="95" t="s">
        <v>100</v>
      </c>
      <c r="D5" s="91" t="s">
        <v>6</v>
      </c>
      <c r="E5" s="92">
        <v>1</v>
      </c>
      <c r="F5" s="92">
        <v>41.63</v>
      </c>
      <c r="G5" s="88">
        <v>0.7</v>
      </c>
    </row>
    <row r="6" spans="1:7" x14ac:dyDescent="0.2">
      <c r="A6" s="94"/>
      <c r="B6" s="94"/>
      <c r="C6" s="95" t="s">
        <v>101</v>
      </c>
      <c r="D6" s="91" t="s">
        <v>6</v>
      </c>
      <c r="E6" s="92">
        <v>0.21</v>
      </c>
      <c r="F6" s="97"/>
      <c r="G6" s="97">
        <v>4.26</v>
      </c>
    </row>
    <row r="7" spans="1:7" ht="15" x14ac:dyDescent="0.25">
      <c r="A7" s="196" t="s">
        <v>102</v>
      </c>
      <c r="B7" s="197"/>
      <c r="C7" s="198"/>
      <c r="D7" s="198"/>
      <c r="E7" s="199">
        <f>(F4*E6)+(F5*E6)</f>
        <v>22.104599999999998</v>
      </c>
      <c r="F7" s="200"/>
      <c r="G7" s="201"/>
    </row>
    <row r="8" spans="1:7" ht="15.75" thickBot="1" x14ac:dyDescent="0.3">
      <c r="A8" s="86" t="s">
        <v>61</v>
      </c>
      <c r="B8" s="87"/>
      <c r="C8" s="202" t="s">
        <v>220</v>
      </c>
      <c r="D8" s="203"/>
      <c r="E8" s="203"/>
      <c r="F8" s="203"/>
      <c r="G8" s="204"/>
    </row>
    <row r="9" spans="1:7" ht="21.75" thickBot="1" x14ac:dyDescent="0.4">
      <c r="A9" s="190" t="s">
        <v>53</v>
      </c>
      <c r="B9" s="191"/>
      <c r="C9" s="191"/>
      <c r="D9" s="191"/>
      <c r="E9" s="191"/>
      <c r="F9" s="191"/>
      <c r="G9" s="192"/>
    </row>
    <row r="10" spans="1:7" ht="31.5" x14ac:dyDescent="0.25">
      <c r="A10" s="80"/>
      <c r="B10" s="193" t="s">
        <v>111</v>
      </c>
      <c r="C10" s="194"/>
      <c r="D10" s="194"/>
      <c r="E10" s="194"/>
      <c r="F10" s="195"/>
      <c r="G10" s="81" t="s">
        <v>54</v>
      </c>
    </row>
    <row r="11" spans="1:7" ht="15" x14ac:dyDescent="0.25">
      <c r="A11" s="82" t="s">
        <v>55</v>
      </c>
      <c r="B11" s="83" t="s">
        <v>23</v>
      </c>
      <c r="C11" s="84" t="s">
        <v>56</v>
      </c>
      <c r="D11" s="83" t="s">
        <v>8</v>
      </c>
      <c r="E11" s="83" t="s">
        <v>57</v>
      </c>
      <c r="F11" s="83" t="s">
        <v>58</v>
      </c>
      <c r="G11" s="85" t="s">
        <v>59</v>
      </c>
    </row>
    <row r="12" spans="1:7" ht="24" x14ac:dyDescent="0.2">
      <c r="A12" s="89" t="s">
        <v>25</v>
      </c>
      <c r="B12" s="89">
        <v>90091</v>
      </c>
      <c r="C12" s="90" t="s">
        <v>62</v>
      </c>
      <c r="D12" s="91" t="s">
        <v>60</v>
      </c>
      <c r="E12" s="92">
        <v>1</v>
      </c>
      <c r="F12" s="92">
        <v>5.41</v>
      </c>
      <c r="G12" s="88">
        <v>5.43</v>
      </c>
    </row>
    <row r="13" spans="1:7" x14ac:dyDescent="0.2">
      <c r="A13" s="89" t="s">
        <v>42</v>
      </c>
      <c r="B13" s="89">
        <v>5914389</v>
      </c>
      <c r="C13" s="90" t="s">
        <v>63</v>
      </c>
      <c r="D13" s="91" t="s">
        <v>64</v>
      </c>
      <c r="E13" s="92">
        <v>1</v>
      </c>
      <c r="F13" s="92">
        <v>0.47</v>
      </c>
      <c r="G13" s="88">
        <v>0.7</v>
      </c>
    </row>
    <row r="14" spans="1:7" ht="36" x14ac:dyDescent="0.2">
      <c r="A14" s="94" t="s">
        <v>25</v>
      </c>
      <c r="B14" s="94">
        <v>41722</v>
      </c>
      <c r="C14" s="95" t="s">
        <v>68</v>
      </c>
      <c r="D14" s="96" t="s">
        <v>60</v>
      </c>
      <c r="E14" s="92">
        <v>1</v>
      </c>
      <c r="F14" s="97">
        <v>4.29</v>
      </c>
      <c r="G14" s="97">
        <v>4.26</v>
      </c>
    </row>
    <row r="15" spans="1:7" x14ac:dyDescent="0.2">
      <c r="A15" s="89" t="s">
        <v>42</v>
      </c>
      <c r="B15" s="89">
        <v>4011282</v>
      </c>
      <c r="C15" s="93" t="s">
        <v>65</v>
      </c>
      <c r="D15" s="91" t="s">
        <v>7</v>
      </c>
      <c r="E15" s="92">
        <v>1</v>
      </c>
      <c r="F15" s="92">
        <v>79.67</v>
      </c>
      <c r="G15" s="88">
        <v>80.92</v>
      </c>
    </row>
    <row r="16" spans="1:7" x14ac:dyDescent="0.2">
      <c r="A16" s="89" t="s">
        <v>42</v>
      </c>
      <c r="B16" s="89">
        <v>4011276</v>
      </c>
      <c r="C16" s="90" t="s">
        <v>219</v>
      </c>
      <c r="D16" s="91" t="s">
        <v>7</v>
      </c>
      <c r="E16" s="92">
        <v>1</v>
      </c>
      <c r="F16" s="92">
        <v>97.1</v>
      </c>
      <c r="G16" s="88">
        <v>100.13</v>
      </c>
    </row>
    <row r="17" spans="1:12" x14ac:dyDescent="0.2">
      <c r="A17" s="89" t="s">
        <v>25</v>
      </c>
      <c r="B17" s="89">
        <v>72844</v>
      </c>
      <c r="C17" s="90" t="s">
        <v>66</v>
      </c>
      <c r="D17" s="91" t="s">
        <v>67</v>
      </c>
      <c r="E17" s="92">
        <v>1</v>
      </c>
      <c r="F17" s="92">
        <v>0.7</v>
      </c>
      <c r="G17" s="88">
        <v>0.7</v>
      </c>
    </row>
    <row r="18" spans="1:12" x14ac:dyDescent="0.2">
      <c r="A18" s="89" t="s">
        <v>42</v>
      </c>
      <c r="B18" s="89">
        <v>5914389</v>
      </c>
      <c r="C18" s="90" t="s">
        <v>63</v>
      </c>
      <c r="D18" s="91" t="s">
        <v>64</v>
      </c>
      <c r="E18" s="92">
        <v>1</v>
      </c>
      <c r="F18" s="92">
        <v>0.47</v>
      </c>
      <c r="G18" s="88">
        <v>0.45</v>
      </c>
    </row>
    <row r="19" spans="1:12" ht="15" x14ac:dyDescent="0.25">
      <c r="A19" s="196" t="s">
        <v>69</v>
      </c>
      <c r="B19" s="197"/>
      <c r="C19" s="198"/>
      <c r="D19" s="198"/>
      <c r="E19" s="199">
        <f>((F12*0.45)+(F14*0.15)+(F15*0.15)+(F16*0.15))+((0.45*1.8*0.9)*26)+(0.7*1.8*0.9)+((1.8*0.45*0.9)*20)</f>
        <v>64.261499999999998</v>
      </c>
      <c r="F19" s="200"/>
      <c r="G19" s="201"/>
    </row>
    <row r="20" spans="1:12" ht="15.75" thickBot="1" x14ac:dyDescent="0.3">
      <c r="A20" s="146" t="s">
        <v>61</v>
      </c>
      <c r="B20" s="98"/>
      <c r="C20" s="202" t="s">
        <v>220</v>
      </c>
      <c r="D20" s="203"/>
      <c r="E20" s="203"/>
      <c r="F20" s="203"/>
      <c r="G20" s="204"/>
    </row>
    <row r="21" spans="1:12" ht="21" customHeight="1" thickBot="1" x14ac:dyDescent="0.4">
      <c r="A21" s="190" t="s">
        <v>53</v>
      </c>
      <c r="B21" s="191"/>
      <c r="C21" s="191"/>
      <c r="D21" s="191"/>
      <c r="E21" s="191"/>
      <c r="F21" s="191"/>
      <c r="G21" s="192"/>
    </row>
    <row r="22" spans="1:12" ht="31.5" x14ac:dyDescent="0.25">
      <c r="A22" s="80"/>
      <c r="B22" s="193" t="s">
        <v>229</v>
      </c>
      <c r="C22" s="194"/>
      <c r="D22" s="194"/>
      <c r="E22" s="194"/>
      <c r="F22" s="195"/>
      <c r="G22" s="81" t="s">
        <v>54</v>
      </c>
    </row>
    <row r="23" spans="1:12" ht="15" x14ac:dyDescent="0.25">
      <c r="A23" s="82" t="s">
        <v>55</v>
      </c>
      <c r="B23" s="83" t="s">
        <v>23</v>
      </c>
      <c r="C23" s="84" t="s">
        <v>56</v>
      </c>
      <c r="D23" s="83" t="s">
        <v>8</v>
      </c>
      <c r="E23" s="83" t="s">
        <v>57</v>
      </c>
      <c r="F23" s="83" t="s">
        <v>58</v>
      </c>
      <c r="G23" s="85" t="s">
        <v>59</v>
      </c>
      <c r="L23" s="150">
        <f>(2*3.14*0.05)*0.1</f>
        <v>3.1400000000000004E-2</v>
      </c>
    </row>
    <row r="24" spans="1:12" x14ac:dyDescent="0.2">
      <c r="A24" s="89" t="s">
        <v>42</v>
      </c>
      <c r="B24" s="89" t="s">
        <v>231</v>
      </c>
      <c r="C24" s="90" t="s">
        <v>230</v>
      </c>
      <c r="D24" s="91" t="s">
        <v>232</v>
      </c>
      <c r="E24" s="92">
        <v>1</v>
      </c>
      <c r="F24" s="92">
        <v>66.853800000000007</v>
      </c>
      <c r="G24" s="88">
        <v>5.43</v>
      </c>
    </row>
    <row r="25" spans="1:12" ht="24" x14ac:dyDescent="0.2">
      <c r="A25" s="89" t="s">
        <v>42</v>
      </c>
      <c r="B25" s="89" t="s">
        <v>231</v>
      </c>
      <c r="C25" s="90" t="s">
        <v>243</v>
      </c>
      <c r="D25" s="91" t="s">
        <v>6</v>
      </c>
      <c r="E25" s="92">
        <f>(2*3.14*0.05)*0.7</f>
        <v>0.21980000000000002</v>
      </c>
      <c r="F25" s="92">
        <f>E25*K25</f>
        <v>4.6267900000000006</v>
      </c>
      <c r="G25" s="88">
        <v>5.43</v>
      </c>
      <c r="K25">
        <v>21.05</v>
      </c>
    </row>
    <row r="26" spans="1:12" x14ac:dyDescent="0.2">
      <c r="A26" s="89" t="s">
        <v>42</v>
      </c>
      <c r="B26" s="89" t="s">
        <v>231</v>
      </c>
      <c r="C26" s="90" t="s">
        <v>238</v>
      </c>
      <c r="D26" s="91" t="s">
        <v>6</v>
      </c>
      <c r="E26" s="92">
        <f>2*L23</f>
        <v>6.2800000000000009E-2</v>
      </c>
      <c r="F26" s="92">
        <f>E26*K26</f>
        <v>1.3432920000000002</v>
      </c>
      <c r="G26" s="88">
        <v>5.43</v>
      </c>
      <c r="K26">
        <v>21.39</v>
      </c>
    </row>
    <row r="27" spans="1:12" x14ac:dyDescent="0.2">
      <c r="A27" s="89" t="s">
        <v>25</v>
      </c>
      <c r="B27" s="89">
        <v>96522</v>
      </c>
      <c r="C27" s="90" t="s">
        <v>233</v>
      </c>
      <c r="D27" s="91" t="s">
        <v>7</v>
      </c>
      <c r="E27" s="148">
        <f>(3.14*(0.15*0.15))*0.4</f>
        <v>2.8260000000000004E-2</v>
      </c>
      <c r="F27" s="92">
        <f>K27*E27</f>
        <v>3.3499404000000008</v>
      </c>
      <c r="G27" s="88">
        <v>5.43</v>
      </c>
      <c r="K27">
        <v>118.54</v>
      </c>
    </row>
    <row r="28" spans="1:12" x14ac:dyDescent="0.2">
      <c r="A28" s="89" t="s">
        <v>25</v>
      </c>
      <c r="B28" s="89">
        <v>94964</v>
      </c>
      <c r="C28" s="95" t="s">
        <v>234</v>
      </c>
      <c r="D28" s="91" t="s">
        <v>7</v>
      </c>
      <c r="E28" s="149">
        <f>E27-((3.14*(0.05*0.05)))+(3.14*(0.05*0.05))</f>
        <v>2.8260000000000007E-2</v>
      </c>
      <c r="F28" s="92">
        <f>K28*E28</f>
        <v>8.6260824000000031</v>
      </c>
      <c r="G28" s="88">
        <v>0.7</v>
      </c>
      <c r="K28">
        <v>305.24</v>
      </c>
    </row>
    <row r="29" spans="1:12" x14ac:dyDescent="0.2">
      <c r="A29" s="89" t="s">
        <v>25</v>
      </c>
      <c r="B29" s="89" t="s">
        <v>236</v>
      </c>
      <c r="C29" s="95" t="s">
        <v>237</v>
      </c>
      <c r="D29" s="91" t="s">
        <v>7</v>
      </c>
      <c r="E29" s="149">
        <v>0.02</v>
      </c>
      <c r="F29" s="92">
        <f>K29*E29</f>
        <v>2.1838000000000002</v>
      </c>
      <c r="G29" s="88">
        <v>0.7</v>
      </c>
      <c r="K29">
        <v>109.19</v>
      </c>
    </row>
    <row r="30" spans="1:12" x14ac:dyDescent="0.2">
      <c r="A30" s="89" t="s">
        <v>25</v>
      </c>
      <c r="B30" s="89">
        <v>88316</v>
      </c>
      <c r="C30" s="90" t="s">
        <v>242</v>
      </c>
      <c r="D30" s="91" t="s">
        <v>235</v>
      </c>
      <c r="E30" s="92">
        <v>2</v>
      </c>
      <c r="F30" s="92">
        <f>K30*E30</f>
        <v>32.42</v>
      </c>
      <c r="G30" s="88">
        <v>5.43</v>
      </c>
      <c r="K30">
        <v>16.21</v>
      </c>
    </row>
    <row r="31" spans="1:12" x14ac:dyDescent="0.2">
      <c r="A31" s="94"/>
      <c r="B31" s="94"/>
      <c r="C31" s="95"/>
      <c r="D31" s="91"/>
      <c r="E31" s="92"/>
      <c r="F31" s="97"/>
      <c r="G31" s="97">
        <v>4.26</v>
      </c>
    </row>
    <row r="32" spans="1:12" ht="15" x14ac:dyDescent="0.25">
      <c r="A32" s="196" t="s">
        <v>102</v>
      </c>
      <c r="B32" s="197"/>
      <c r="C32" s="198"/>
      <c r="D32" s="198"/>
      <c r="E32" s="199">
        <f>SUM(F24:F31)</f>
        <v>119.40370480000001</v>
      </c>
      <c r="F32" s="200"/>
      <c r="G32" s="201"/>
    </row>
    <row r="33" spans="1:12" ht="15.75" thickBot="1" x14ac:dyDescent="0.3">
      <c r="A33" s="86" t="s">
        <v>61</v>
      </c>
      <c r="B33" s="87"/>
      <c r="C33" s="202" t="s">
        <v>220</v>
      </c>
      <c r="D33" s="203"/>
      <c r="E33" s="203"/>
      <c r="F33" s="203"/>
      <c r="G33" s="204"/>
    </row>
    <row r="34" spans="1:12" ht="21.75" thickBot="1" x14ac:dyDescent="0.4">
      <c r="A34" s="190" t="s">
        <v>53</v>
      </c>
      <c r="B34" s="191"/>
      <c r="C34" s="191"/>
      <c r="D34" s="191"/>
      <c r="E34" s="191"/>
      <c r="F34" s="191"/>
      <c r="G34" s="192"/>
    </row>
    <row r="35" spans="1:12" ht="31.5" x14ac:dyDescent="0.25">
      <c r="A35" s="80"/>
      <c r="B35" s="193" t="s">
        <v>244</v>
      </c>
      <c r="C35" s="194"/>
      <c r="D35" s="194"/>
      <c r="E35" s="194"/>
      <c r="F35" s="195"/>
      <c r="G35" s="81" t="s">
        <v>54</v>
      </c>
    </row>
    <row r="36" spans="1:12" ht="15" x14ac:dyDescent="0.25">
      <c r="A36" s="82" t="s">
        <v>55</v>
      </c>
      <c r="B36" s="83" t="s">
        <v>23</v>
      </c>
      <c r="C36" s="84" t="s">
        <v>56</v>
      </c>
      <c r="D36" s="83" t="s">
        <v>8</v>
      </c>
      <c r="E36" s="83" t="s">
        <v>57</v>
      </c>
      <c r="F36" s="83" t="s">
        <v>58</v>
      </c>
      <c r="G36" s="85" t="s">
        <v>59</v>
      </c>
      <c r="L36" s="150">
        <f>(2*3.14*0.05)*0.1</f>
        <v>3.1400000000000004E-2</v>
      </c>
    </row>
    <row r="37" spans="1:12" ht="36" x14ac:dyDescent="0.2">
      <c r="A37" s="89" t="s">
        <v>25</v>
      </c>
      <c r="B37" s="89">
        <v>94999</v>
      </c>
      <c r="C37" s="90" t="s">
        <v>245</v>
      </c>
      <c r="D37" s="91" t="s">
        <v>6</v>
      </c>
      <c r="E37" s="92">
        <v>1</v>
      </c>
      <c r="F37" s="92">
        <v>71</v>
      </c>
      <c r="G37" s="88">
        <v>5.43</v>
      </c>
      <c r="K37">
        <v>0.12</v>
      </c>
    </row>
    <row r="38" spans="1:12" x14ac:dyDescent="0.2">
      <c r="A38" s="89"/>
      <c r="B38" s="89"/>
      <c r="C38" s="90"/>
      <c r="D38" s="91"/>
      <c r="E38" s="92"/>
      <c r="F38" s="92">
        <f>E38*K38</f>
        <v>0</v>
      </c>
      <c r="G38" s="88">
        <v>5.43</v>
      </c>
      <c r="K38">
        <v>21.05</v>
      </c>
    </row>
    <row r="39" spans="1:12" x14ac:dyDescent="0.2">
      <c r="A39" s="89"/>
      <c r="B39" s="89"/>
      <c r="C39" s="90" t="s">
        <v>246</v>
      </c>
      <c r="D39" s="91"/>
      <c r="E39" s="92"/>
      <c r="F39" s="92">
        <f>E39*K39</f>
        <v>0</v>
      </c>
      <c r="G39" s="88">
        <v>5.43</v>
      </c>
      <c r="K39">
        <v>21.39</v>
      </c>
    </row>
    <row r="40" spans="1:12" x14ac:dyDescent="0.2">
      <c r="A40" s="89"/>
      <c r="B40" s="89"/>
      <c r="C40" s="90" t="s">
        <v>247</v>
      </c>
      <c r="D40" s="91"/>
      <c r="E40" s="148"/>
      <c r="F40" s="92">
        <f>K40*E40</f>
        <v>0</v>
      </c>
      <c r="G40" s="88">
        <v>5.43</v>
      </c>
      <c r="K40">
        <v>118.54</v>
      </c>
    </row>
    <row r="41" spans="1:12" x14ac:dyDescent="0.2">
      <c r="A41" s="89"/>
      <c r="B41" s="89"/>
      <c r="C41" s="95" t="s">
        <v>249</v>
      </c>
      <c r="D41" s="91"/>
      <c r="E41" s="149"/>
      <c r="F41" s="92">
        <f>K41*E41</f>
        <v>0</v>
      </c>
      <c r="G41" s="88">
        <v>0.7</v>
      </c>
      <c r="K41">
        <v>305.24</v>
      </c>
    </row>
    <row r="42" spans="1:12" x14ac:dyDescent="0.2">
      <c r="A42" s="89"/>
      <c r="B42" s="89"/>
      <c r="C42" s="95"/>
      <c r="D42" s="91"/>
      <c r="E42" s="149"/>
      <c r="F42" s="92">
        <f>K42*E42</f>
        <v>0</v>
      </c>
      <c r="G42" s="88">
        <v>0.7</v>
      </c>
      <c r="K42">
        <v>109.19</v>
      </c>
    </row>
    <row r="43" spans="1:12" x14ac:dyDescent="0.2">
      <c r="A43" s="89"/>
      <c r="B43" s="89"/>
      <c r="C43" s="90" t="s">
        <v>248</v>
      </c>
      <c r="D43" s="91" t="s">
        <v>7</v>
      </c>
      <c r="E43" s="92">
        <v>1</v>
      </c>
      <c r="F43" s="92">
        <f>F37/K37</f>
        <v>591.66666666666674</v>
      </c>
      <c r="G43" s="88">
        <v>5.43</v>
      </c>
      <c r="K43">
        <v>16.21</v>
      </c>
    </row>
    <row r="44" spans="1:12" x14ac:dyDescent="0.2">
      <c r="A44" s="94"/>
      <c r="B44" s="94"/>
      <c r="C44" s="95"/>
      <c r="D44" s="91"/>
      <c r="E44" s="92"/>
      <c r="F44" s="97"/>
      <c r="G44" s="97">
        <v>4.26</v>
      </c>
    </row>
    <row r="45" spans="1:12" ht="15" x14ac:dyDescent="0.25">
      <c r="A45" s="196" t="s">
        <v>102</v>
      </c>
      <c r="B45" s="197"/>
      <c r="C45" s="198"/>
      <c r="D45" s="198"/>
      <c r="E45" s="199">
        <f>SUM(F38:F44)</f>
        <v>591.66666666666674</v>
      </c>
      <c r="F45" s="200"/>
      <c r="G45" s="201"/>
    </row>
    <row r="46" spans="1:12" ht="15.75" thickBot="1" x14ac:dyDescent="0.3">
      <c r="A46" s="86" t="s">
        <v>61</v>
      </c>
      <c r="B46" s="87"/>
      <c r="C46" s="202" t="s">
        <v>220</v>
      </c>
      <c r="D46" s="203"/>
      <c r="E46" s="203"/>
      <c r="F46" s="203"/>
      <c r="G46" s="204"/>
    </row>
    <row r="47" spans="1:12" ht="21" customHeight="1" thickBot="1" x14ac:dyDescent="0.4">
      <c r="A47" s="190" t="s">
        <v>53</v>
      </c>
      <c r="B47" s="191"/>
      <c r="C47" s="191"/>
      <c r="D47" s="191"/>
      <c r="E47" s="191"/>
      <c r="F47" s="191"/>
      <c r="G47" s="192"/>
    </row>
    <row r="48" spans="1:12" ht="31.5" x14ac:dyDescent="0.25">
      <c r="A48" s="80"/>
      <c r="B48" s="193" t="s">
        <v>252</v>
      </c>
      <c r="C48" s="194"/>
      <c r="D48" s="194"/>
      <c r="E48" s="194"/>
      <c r="F48" s="195"/>
      <c r="G48" s="81" t="s">
        <v>54</v>
      </c>
    </row>
    <row r="49" spans="1:12" ht="15" x14ac:dyDescent="0.25">
      <c r="A49" s="82" t="s">
        <v>55</v>
      </c>
      <c r="B49" s="83" t="s">
        <v>23</v>
      </c>
      <c r="C49" s="84" t="s">
        <v>56</v>
      </c>
      <c r="D49" s="83" t="s">
        <v>8</v>
      </c>
      <c r="E49" s="83" t="s">
        <v>57</v>
      </c>
      <c r="F49" s="83" t="s">
        <v>58</v>
      </c>
      <c r="G49" s="85" t="s">
        <v>59</v>
      </c>
      <c r="L49" s="150"/>
    </row>
    <row r="50" spans="1:12" x14ac:dyDescent="0.2">
      <c r="A50" s="89" t="s">
        <v>42</v>
      </c>
      <c r="B50" s="89">
        <v>5213361</v>
      </c>
      <c r="C50" s="90" t="s">
        <v>253</v>
      </c>
      <c r="D50" s="91" t="s">
        <v>8</v>
      </c>
      <c r="E50" s="92">
        <v>1</v>
      </c>
      <c r="F50" s="92">
        <v>37.08</v>
      </c>
      <c r="G50" s="88">
        <v>5.43</v>
      </c>
    </row>
    <row r="51" spans="1:12" x14ac:dyDescent="0.2">
      <c r="A51" s="89" t="s">
        <v>42</v>
      </c>
      <c r="B51" s="89" t="s">
        <v>254</v>
      </c>
      <c r="C51" s="90" t="s">
        <v>255</v>
      </c>
      <c r="D51" s="91" t="s">
        <v>8</v>
      </c>
      <c r="E51" s="92">
        <v>1</v>
      </c>
      <c r="F51" s="174">
        <v>-27.6</v>
      </c>
      <c r="G51" s="88">
        <v>5.43</v>
      </c>
    </row>
    <row r="52" spans="1:12" x14ac:dyDescent="0.2">
      <c r="A52" s="89" t="s">
        <v>256</v>
      </c>
      <c r="B52" s="89"/>
      <c r="C52" s="90" t="s">
        <v>257</v>
      </c>
      <c r="D52" s="91" t="s">
        <v>8</v>
      </c>
      <c r="E52" s="92">
        <v>1</v>
      </c>
      <c r="F52" s="92">
        <v>76</v>
      </c>
      <c r="G52" s="88">
        <v>5.43</v>
      </c>
    </row>
    <row r="53" spans="1:12" x14ac:dyDescent="0.2">
      <c r="A53" s="89"/>
      <c r="B53" s="89"/>
      <c r="C53" s="90"/>
      <c r="D53" s="91"/>
      <c r="E53" s="148">
        <f>(3.14*(0.15*0.15))*0.4</f>
        <v>2.8260000000000004E-2</v>
      </c>
      <c r="F53" s="92"/>
      <c r="G53" s="88">
        <v>5.43</v>
      </c>
    </row>
    <row r="54" spans="1:12" x14ac:dyDescent="0.2">
      <c r="A54" s="89"/>
      <c r="B54" s="89"/>
      <c r="C54" s="95"/>
      <c r="D54" s="91"/>
      <c r="E54" s="149">
        <f>E53-((3.14*(0.05*0.05)))+(3.14*(0.05*0.05))</f>
        <v>2.8260000000000007E-2</v>
      </c>
      <c r="F54" s="92"/>
      <c r="G54" s="88">
        <v>0.7</v>
      </c>
    </row>
    <row r="55" spans="1:12" x14ac:dyDescent="0.2">
      <c r="A55" s="89"/>
      <c r="B55" s="89"/>
      <c r="C55" s="95"/>
      <c r="D55" s="91"/>
      <c r="E55" s="149">
        <v>0.02</v>
      </c>
      <c r="F55" s="92"/>
      <c r="G55" s="88">
        <v>0.7</v>
      </c>
    </row>
    <row r="56" spans="1:12" x14ac:dyDescent="0.2">
      <c r="A56" s="89"/>
      <c r="B56" s="89"/>
      <c r="C56" s="90"/>
      <c r="D56" s="91"/>
      <c r="E56" s="92">
        <v>2</v>
      </c>
      <c r="F56" s="92"/>
      <c r="G56" s="88">
        <v>5.43</v>
      </c>
    </row>
    <row r="57" spans="1:12" x14ac:dyDescent="0.2">
      <c r="A57" s="94"/>
      <c r="B57" s="94"/>
      <c r="C57" s="95"/>
      <c r="D57" s="91"/>
      <c r="E57" s="92"/>
      <c r="F57" s="97"/>
      <c r="G57" s="97">
        <v>4.26</v>
      </c>
    </row>
    <row r="58" spans="1:12" ht="15" x14ac:dyDescent="0.25">
      <c r="A58" s="196" t="s">
        <v>102</v>
      </c>
      <c r="B58" s="197"/>
      <c r="C58" s="198"/>
      <c r="D58" s="198"/>
      <c r="E58" s="199">
        <f>SUM(F50:F57)</f>
        <v>85.47999999999999</v>
      </c>
      <c r="F58" s="200"/>
      <c r="G58" s="201"/>
    </row>
    <row r="59" spans="1:12" ht="15.75" thickBot="1" x14ac:dyDescent="0.3">
      <c r="A59" s="86" t="s">
        <v>61</v>
      </c>
      <c r="B59" s="87"/>
      <c r="C59" s="202" t="s">
        <v>220</v>
      </c>
      <c r="D59" s="203"/>
      <c r="E59" s="203"/>
      <c r="F59" s="203"/>
      <c r="G59" s="204"/>
    </row>
  </sheetData>
  <mergeCells count="25">
    <mergeCell ref="A34:G34"/>
    <mergeCell ref="B35:F35"/>
    <mergeCell ref="A45:D45"/>
    <mergeCell ref="E45:G45"/>
    <mergeCell ref="C46:G46"/>
    <mergeCell ref="A1:G1"/>
    <mergeCell ref="B2:F2"/>
    <mergeCell ref="A7:D7"/>
    <mergeCell ref="E7:G7"/>
    <mergeCell ref="C8:G8"/>
    <mergeCell ref="A9:G9"/>
    <mergeCell ref="B10:F10"/>
    <mergeCell ref="A19:D19"/>
    <mergeCell ref="E19:G19"/>
    <mergeCell ref="C20:G20"/>
    <mergeCell ref="A21:G21"/>
    <mergeCell ref="B22:F22"/>
    <mergeCell ref="A32:D32"/>
    <mergeCell ref="E32:G32"/>
    <mergeCell ref="C33:G33"/>
    <mergeCell ref="A47:G47"/>
    <mergeCell ref="B48:F48"/>
    <mergeCell ref="A58:D58"/>
    <mergeCell ref="E58:G58"/>
    <mergeCell ref="C59:G59"/>
  </mergeCells>
  <pageMargins left="0.98425196850393704" right="0.51181102362204722" top="2.3622047244094491" bottom="0.78740157480314965" header="0.31496062992125984" footer="0.31496062992125984"/>
  <pageSetup paperSize="9" scale="60" orientation="portrait" r:id="rId1"/>
  <rowBreaks count="1" manualBreakCount="1">
    <brk id="5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showGridLines="0" showZeros="0" view="pageBreakPreview" topLeftCell="A25" zoomScale="85" zoomScaleNormal="85" zoomScaleSheetLayoutView="85" workbookViewId="0">
      <selection activeCell="F43" sqref="F43"/>
    </sheetView>
  </sheetViews>
  <sheetFormatPr defaultRowHeight="12.75" x14ac:dyDescent="0.2"/>
  <cols>
    <col min="1" max="1" width="8.5703125" customWidth="1"/>
    <col min="2" max="2" width="72.42578125" customWidth="1"/>
    <col min="3" max="3" width="14.7109375" style="130" bestFit="1" customWidth="1"/>
    <col min="4" max="4" width="7.28515625" bestFit="1" customWidth="1"/>
    <col min="5" max="5" width="13.85546875" customWidth="1"/>
    <col min="6" max="6" width="9.28515625" bestFit="1" customWidth="1"/>
    <col min="7" max="7" width="14" customWidth="1"/>
    <col min="8" max="8" width="9.28515625" style="24" customWidth="1"/>
    <col min="9" max="9" width="14" customWidth="1"/>
    <col min="10" max="10" width="8.28515625" style="24" customWidth="1"/>
    <col min="11" max="11" width="13.85546875" customWidth="1"/>
    <col min="12" max="12" width="9.28515625" bestFit="1" customWidth="1"/>
    <col min="13" max="13" width="14" customWidth="1"/>
    <col min="14" max="14" width="9.28515625" style="24" customWidth="1"/>
    <col min="15" max="15" width="14" customWidth="1"/>
    <col min="16" max="16" width="8.85546875" style="24" bestFit="1" customWidth="1"/>
    <col min="17" max="17" width="13.85546875" customWidth="1"/>
    <col min="18" max="18" width="9.28515625" bestFit="1" customWidth="1"/>
    <col min="19" max="19" width="14" customWidth="1"/>
    <col min="20" max="20" width="9.28515625" style="24" customWidth="1"/>
    <col min="21" max="21" width="14" customWidth="1"/>
    <col min="22" max="22" width="8.85546875" style="24" bestFit="1" customWidth="1"/>
    <col min="23" max="23" width="14" customWidth="1"/>
    <col min="24" max="24" width="9.28515625" style="24" customWidth="1"/>
    <col min="25" max="25" width="14" customWidth="1"/>
    <col min="26" max="26" width="8.85546875" style="24" bestFit="1" customWidth="1"/>
    <col min="27" max="27" width="14.7109375" style="123" bestFit="1" customWidth="1"/>
    <col min="28" max="28" width="11.28515625" bestFit="1" customWidth="1"/>
  </cols>
  <sheetData>
    <row r="1" spans="1:29" ht="15.75" x14ac:dyDescent="0.25">
      <c r="A1" s="181" t="s">
        <v>28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</row>
    <row r="2" spans="1:29" ht="15.75" x14ac:dyDescent="0.25">
      <c r="A2" s="23"/>
      <c r="B2" s="23"/>
      <c r="C2" s="127"/>
      <c r="D2" s="23"/>
      <c r="E2" s="23"/>
      <c r="F2" s="23"/>
      <c r="G2" s="23"/>
      <c r="H2" s="144"/>
      <c r="I2" s="16"/>
      <c r="K2" s="109"/>
      <c r="L2" s="109"/>
      <c r="M2" s="109"/>
      <c r="N2" s="144"/>
      <c r="O2" s="16"/>
      <c r="Q2" s="109"/>
      <c r="R2" s="109"/>
      <c r="S2" s="109"/>
      <c r="T2" s="144"/>
      <c r="U2" s="16"/>
      <c r="W2" s="109"/>
      <c r="X2" s="144"/>
      <c r="Y2" s="16"/>
    </row>
    <row r="3" spans="1:29" ht="12.75" customHeight="1" x14ac:dyDescent="0.2">
      <c r="A3" s="9" t="s">
        <v>3</v>
      </c>
      <c r="B3" s="205" t="s">
        <v>218</v>
      </c>
      <c r="C3" s="205"/>
      <c r="D3" s="205"/>
      <c r="E3" s="205"/>
      <c r="F3" s="11"/>
      <c r="G3" s="11"/>
      <c r="H3" s="144"/>
      <c r="I3" s="16"/>
      <c r="K3" s="24"/>
      <c r="L3" s="11"/>
      <c r="M3" s="11"/>
      <c r="N3" s="144"/>
      <c r="O3" s="16"/>
      <c r="Q3" s="24"/>
      <c r="R3" s="11"/>
      <c r="S3" s="11"/>
      <c r="T3" s="144"/>
      <c r="U3" s="16"/>
      <c r="W3" s="11"/>
      <c r="X3" s="144"/>
      <c r="Y3" s="16"/>
    </row>
    <row r="4" spans="1:29" x14ac:dyDescent="0.2">
      <c r="A4" s="9"/>
      <c r="B4" s="79"/>
      <c r="C4" s="128"/>
      <c r="D4" s="145" t="e">
        <f>#REF!</f>
        <v>#REF!</v>
      </c>
      <c r="E4" s="145"/>
      <c r="F4" s="13"/>
      <c r="G4" s="12"/>
      <c r="H4" s="144"/>
      <c r="I4" s="16"/>
      <c r="K4" s="11"/>
      <c r="L4" s="13"/>
      <c r="M4" s="12"/>
      <c r="N4" s="144"/>
      <c r="O4" s="16"/>
      <c r="Q4" s="11"/>
      <c r="R4" s="13"/>
      <c r="S4" s="12"/>
      <c r="T4" s="144"/>
      <c r="U4" s="16"/>
      <c r="W4" s="12"/>
      <c r="X4" s="144"/>
      <c r="Y4" s="16"/>
    </row>
    <row r="5" spans="1:29" s="6" customFormat="1" x14ac:dyDescent="0.2">
      <c r="A5" s="28" t="s">
        <v>0</v>
      </c>
      <c r="B5" s="28" t="s">
        <v>29</v>
      </c>
      <c r="C5" s="124" t="s">
        <v>30</v>
      </c>
      <c r="D5" s="28" t="s">
        <v>31</v>
      </c>
      <c r="E5" s="36" t="s">
        <v>208</v>
      </c>
      <c r="F5" s="36"/>
      <c r="G5" s="36" t="s">
        <v>32</v>
      </c>
      <c r="H5" s="37"/>
      <c r="I5" s="36" t="s">
        <v>33</v>
      </c>
      <c r="J5" s="37"/>
      <c r="K5" s="110" t="s">
        <v>209</v>
      </c>
      <c r="L5" s="110"/>
      <c r="M5" s="110" t="s">
        <v>210</v>
      </c>
      <c r="N5" s="37"/>
      <c r="O5" s="110" t="s">
        <v>211</v>
      </c>
      <c r="P5" s="37"/>
      <c r="Q5" s="110" t="s">
        <v>213</v>
      </c>
      <c r="R5" s="110"/>
      <c r="S5" s="110" t="s">
        <v>214</v>
      </c>
      <c r="T5" s="37"/>
      <c r="U5" s="110" t="s">
        <v>215</v>
      </c>
      <c r="V5" s="37"/>
      <c r="W5" s="110" t="s">
        <v>216</v>
      </c>
      <c r="X5" s="37"/>
      <c r="Y5" s="110" t="s">
        <v>217</v>
      </c>
      <c r="Z5" s="37"/>
      <c r="AA5" s="124" t="s">
        <v>34</v>
      </c>
      <c r="AB5" s="28"/>
    </row>
    <row r="6" spans="1:29" x14ac:dyDescent="0.2">
      <c r="A6" s="25"/>
      <c r="B6" s="25"/>
      <c r="C6" s="125" t="s">
        <v>34</v>
      </c>
      <c r="D6" s="25"/>
      <c r="E6" s="25" t="s">
        <v>35</v>
      </c>
      <c r="F6" s="25" t="s">
        <v>31</v>
      </c>
      <c r="G6" s="25" t="s">
        <v>35</v>
      </c>
      <c r="H6" s="26" t="s">
        <v>31</v>
      </c>
      <c r="I6" s="25" t="s">
        <v>36</v>
      </c>
      <c r="J6" s="26" t="s">
        <v>31</v>
      </c>
      <c r="K6" s="25" t="s">
        <v>35</v>
      </c>
      <c r="L6" s="25" t="s">
        <v>31</v>
      </c>
      <c r="M6" s="25" t="s">
        <v>35</v>
      </c>
      <c r="N6" s="26" t="s">
        <v>31</v>
      </c>
      <c r="O6" s="25" t="s">
        <v>36</v>
      </c>
      <c r="P6" s="26" t="s">
        <v>31</v>
      </c>
      <c r="Q6" s="25" t="s">
        <v>35</v>
      </c>
      <c r="R6" s="25" t="s">
        <v>31</v>
      </c>
      <c r="S6" s="25" t="s">
        <v>35</v>
      </c>
      <c r="T6" s="26" t="s">
        <v>31</v>
      </c>
      <c r="U6" s="25" t="s">
        <v>36</v>
      </c>
      <c r="V6" s="26" t="s">
        <v>31</v>
      </c>
      <c r="W6" s="25" t="s">
        <v>35</v>
      </c>
      <c r="X6" s="26" t="s">
        <v>31</v>
      </c>
      <c r="Y6" s="25" t="s">
        <v>36</v>
      </c>
      <c r="Z6" s="26" t="s">
        <v>31</v>
      </c>
      <c r="AA6" s="122" t="s">
        <v>36</v>
      </c>
      <c r="AB6" s="25" t="s">
        <v>31</v>
      </c>
    </row>
    <row r="7" spans="1:29" s="137" customFormat="1" x14ac:dyDescent="0.2">
      <c r="A7" s="132"/>
      <c r="B7" s="132" t="str">
        <f>'Orçamento final pintura asfalto'!B29</f>
        <v>AV.NEREU RAMOS POSTO PÉROLA ATÉ RUA HONDURAS - TIMBÓ - SC</v>
      </c>
      <c r="C7" s="133"/>
      <c r="D7" s="134"/>
      <c r="E7" s="135"/>
      <c r="F7" s="134"/>
      <c r="G7" s="177">
        <f t="shared" ref="G7:G18" si="0">ROUND((H7*C7),2)</f>
        <v>0</v>
      </c>
      <c r="H7" s="134"/>
      <c r="I7" s="177">
        <f t="shared" ref="I7:I28" si="1">ROUND((J7*C7),2)</f>
        <v>0</v>
      </c>
      <c r="J7" s="134"/>
      <c r="K7" s="177">
        <f t="shared" ref="K7:K39" si="2">ROUND((L7*C7),2)</f>
        <v>0</v>
      </c>
      <c r="L7" s="134"/>
      <c r="M7" s="177">
        <f t="shared" ref="M7:M54" si="3">ROUND((N7*C7),2)</f>
        <v>0</v>
      </c>
      <c r="N7" s="134"/>
      <c r="O7" s="177">
        <f t="shared" ref="O7:O54" si="4">ROUND((P7*C7),2)</f>
        <v>0</v>
      </c>
      <c r="P7" s="134"/>
      <c r="Q7" s="177">
        <f t="shared" ref="Q7:Q54" si="5">ROUND((R7*C7),2)</f>
        <v>0</v>
      </c>
      <c r="R7" s="134"/>
      <c r="S7" s="177">
        <f t="shared" ref="S7:S54" si="6">ROUND((T7*C7),2)</f>
        <v>0</v>
      </c>
      <c r="T7" s="134"/>
      <c r="U7" s="177">
        <f t="shared" ref="U7:U54" si="7">ROUND((V7*C7),2)</f>
        <v>0</v>
      </c>
      <c r="V7" s="134"/>
      <c r="W7" s="177">
        <f t="shared" ref="W7:W54" si="8">ROUND((X7*C7),2)</f>
        <v>0</v>
      </c>
      <c r="X7" s="134"/>
      <c r="Y7" s="136"/>
      <c r="Z7" s="134"/>
      <c r="AA7" s="178">
        <f t="shared" ref="AA7:AA54" si="9">ROUND((E7+G7+I7+K7+M7+O7+Q7+S7+U7+W7+Y7),2)</f>
        <v>0</v>
      </c>
      <c r="AB7" s="179">
        <f t="shared" ref="AB7:AB54" si="10">ROUND((F7+H7+J7+L7+N7+P7+R7+T7+V7+X7+Z7),2)</f>
        <v>0</v>
      </c>
      <c r="AC7" s="180">
        <f t="shared" ref="AC7:AC54" si="11">(AA7-C7)+1</f>
        <v>1</v>
      </c>
    </row>
    <row r="8" spans="1:29" s="137" customFormat="1" x14ac:dyDescent="0.2">
      <c r="A8" s="132" t="s">
        <v>51</v>
      </c>
      <c r="B8" s="132" t="str">
        <f>'Orçamento final pintura asfalto'!B32</f>
        <v>SERVIÇOS INICIAIS</v>
      </c>
      <c r="C8" s="133">
        <f>SUM(C9:C11)</f>
        <v>5478.37</v>
      </c>
      <c r="D8" s="134">
        <f t="shared" ref="D8:D20" si="12">C8/$C$25</f>
        <v>7.251258269092513E-3</v>
      </c>
      <c r="E8" s="135">
        <f>F8*C8</f>
        <v>0</v>
      </c>
      <c r="F8" s="134"/>
      <c r="G8" s="177">
        <f t="shared" si="0"/>
        <v>0</v>
      </c>
      <c r="H8" s="134"/>
      <c r="I8" s="177">
        <f t="shared" si="1"/>
        <v>0</v>
      </c>
      <c r="J8" s="134"/>
      <c r="K8" s="177">
        <f t="shared" si="2"/>
        <v>0</v>
      </c>
      <c r="L8" s="134"/>
      <c r="M8" s="177">
        <f t="shared" si="3"/>
        <v>0</v>
      </c>
      <c r="N8" s="134"/>
      <c r="O8" s="177">
        <f t="shared" si="4"/>
        <v>0</v>
      </c>
      <c r="P8" s="134"/>
      <c r="Q8" s="177">
        <f t="shared" si="5"/>
        <v>0</v>
      </c>
      <c r="R8" s="134"/>
      <c r="S8" s="177">
        <f t="shared" si="6"/>
        <v>0</v>
      </c>
      <c r="T8" s="134"/>
      <c r="U8" s="177">
        <f t="shared" si="7"/>
        <v>0</v>
      </c>
      <c r="V8" s="134"/>
      <c r="W8" s="177">
        <f t="shared" si="8"/>
        <v>0</v>
      </c>
      <c r="X8" s="134"/>
      <c r="Y8" s="136">
        <f>Z8*S8</f>
        <v>0</v>
      </c>
      <c r="Z8" s="134"/>
      <c r="AA8" s="178">
        <f t="shared" si="9"/>
        <v>0</v>
      </c>
      <c r="AB8" s="179">
        <f t="shared" si="10"/>
        <v>0</v>
      </c>
      <c r="AC8" s="180">
        <f t="shared" si="11"/>
        <v>-5477.37</v>
      </c>
    </row>
    <row r="9" spans="1:29" x14ac:dyDescent="0.2">
      <c r="A9" s="120" t="s">
        <v>134</v>
      </c>
      <c r="B9" s="175" t="str">
        <f>'Orçamento final pintura asfalto'!B33</f>
        <v>Placa de Obra, conforme padrão da Caixa (tamanho mínimo 2,00mx1,25m)</v>
      </c>
      <c r="C9" s="126">
        <f>'Orçamento final pintura asfalto'!G33</f>
        <v>923.05</v>
      </c>
      <c r="D9" s="131">
        <f t="shared" si="12"/>
        <v>1.2217637628137283E-3</v>
      </c>
      <c r="E9" s="141">
        <f t="shared" ref="E9:E11" si="13">F9*C9</f>
        <v>0</v>
      </c>
      <c r="F9" s="26"/>
      <c r="G9" s="141">
        <f t="shared" si="0"/>
        <v>923.05</v>
      </c>
      <c r="H9" s="26">
        <v>1</v>
      </c>
      <c r="I9" s="141">
        <f t="shared" si="1"/>
        <v>0</v>
      </c>
      <c r="J9" s="26"/>
      <c r="K9" s="141">
        <f t="shared" si="2"/>
        <v>0</v>
      </c>
      <c r="L9" s="26"/>
      <c r="M9" s="141">
        <f t="shared" si="3"/>
        <v>0</v>
      </c>
      <c r="N9" s="26"/>
      <c r="O9" s="141">
        <f t="shared" si="4"/>
        <v>0</v>
      </c>
      <c r="P9" s="26"/>
      <c r="Q9" s="141">
        <f t="shared" si="5"/>
        <v>0</v>
      </c>
      <c r="R9" s="26"/>
      <c r="S9" s="141">
        <f t="shared" si="6"/>
        <v>0</v>
      </c>
      <c r="T9" s="26"/>
      <c r="U9" s="141">
        <f t="shared" si="7"/>
        <v>0</v>
      </c>
      <c r="V9" s="26"/>
      <c r="W9" s="141">
        <f t="shared" si="8"/>
        <v>0</v>
      </c>
      <c r="X9" s="26"/>
      <c r="Y9" s="27"/>
      <c r="Z9" s="26"/>
      <c r="AA9" s="122">
        <f t="shared" si="9"/>
        <v>923.05</v>
      </c>
      <c r="AB9" s="176">
        <f t="shared" si="10"/>
        <v>1</v>
      </c>
      <c r="AC9" s="123">
        <f t="shared" si="11"/>
        <v>1</v>
      </c>
    </row>
    <row r="10" spans="1:29" x14ac:dyDescent="0.2">
      <c r="A10" s="120" t="s">
        <v>135</v>
      </c>
      <c r="B10" s="175" t="str">
        <f>'Orçamento final pintura asfalto'!B34</f>
        <v>Locação da obra com uso de equipamentos topográficos, inclusive topógrafo e nivelador</v>
      </c>
      <c r="C10" s="126">
        <f>'Orçamento final pintura asfalto'!G34</f>
        <v>4168.13</v>
      </c>
      <c r="D10" s="131">
        <f t="shared" si="12"/>
        <v>5.5170036213604738E-3</v>
      </c>
      <c r="E10" s="141">
        <f t="shared" si="13"/>
        <v>0</v>
      </c>
      <c r="F10" s="26"/>
      <c r="G10" s="141">
        <f t="shared" si="0"/>
        <v>4168.13</v>
      </c>
      <c r="H10" s="26">
        <v>1</v>
      </c>
      <c r="I10" s="141">
        <f t="shared" si="1"/>
        <v>0</v>
      </c>
      <c r="J10" s="26"/>
      <c r="K10" s="141">
        <f t="shared" si="2"/>
        <v>0</v>
      </c>
      <c r="L10" s="26"/>
      <c r="M10" s="141">
        <f t="shared" si="3"/>
        <v>0</v>
      </c>
      <c r="N10" s="26"/>
      <c r="O10" s="141">
        <f t="shared" si="4"/>
        <v>0</v>
      </c>
      <c r="P10" s="26"/>
      <c r="Q10" s="141">
        <f t="shared" si="5"/>
        <v>0</v>
      </c>
      <c r="R10" s="26"/>
      <c r="S10" s="141">
        <f t="shared" si="6"/>
        <v>0</v>
      </c>
      <c r="T10" s="26"/>
      <c r="U10" s="141">
        <f t="shared" si="7"/>
        <v>0</v>
      </c>
      <c r="V10" s="26"/>
      <c r="W10" s="141">
        <f t="shared" si="8"/>
        <v>0</v>
      </c>
      <c r="X10" s="26"/>
      <c r="Y10" s="27"/>
      <c r="Z10" s="26"/>
      <c r="AA10" s="122">
        <f t="shared" si="9"/>
        <v>4168.13</v>
      </c>
      <c r="AB10" s="176">
        <f t="shared" si="10"/>
        <v>1</v>
      </c>
      <c r="AC10" s="123">
        <f t="shared" si="11"/>
        <v>1</v>
      </c>
    </row>
    <row r="11" spans="1:29" x14ac:dyDescent="0.2">
      <c r="A11" s="120" t="s">
        <v>136</v>
      </c>
      <c r="B11" s="175" t="str">
        <f>'Orçamento final pintura asfalto'!B35</f>
        <v>Caminhão pipa 10.000 l trucado, peso bruto total 23.000 kg, carga útil máxima 15.935 kg, distância entre eixos 4,8 m, potência 230 cv, inclusive tanque de aço para transporte de água (lavar paralelipípedo)</v>
      </c>
      <c r="C11" s="126">
        <f>'Orçamento final pintura asfalto'!G35</f>
        <v>387.19</v>
      </c>
      <c r="D11" s="131">
        <f t="shared" si="12"/>
        <v>5.1249088491831158E-4</v>
      </c>
      <c r="E11" s="141">
        <f t="shared" si="13"/>
        <v>0</v>
      </c>
      <c r="F11" s="26"/>
      <c r="G11" s="141">
        <f t="shared" si="0"/>
        <v>387.19</v>
      </c>
      <c r="H11" s="26">
        <v>1</v>
      </c>
      <c r="I11" s="141">
        <f t="shared" si="1"/>
        <v>0</v>
      </c>
      <c r="J11" s="26"/>
      <c r="K11" s="141">
        <f t="shared" si="2"/>
        <v>0</v>
      </c>
      <c r="L11" s="26"/>
      <c r="M11" s="141">
        <f t="shared" si="3"/>
        <v>0</v>
      </c>
      <c r="N11" s="26"/>
      <c r="O11" s="141">
        <f t="shared" si="4"/>
        <v>0</v>
      </c>
      <c r="P11" s="26"/>
      <c r="Q11" s="141">
        <f t="shared" si="5"/>
        <v>0</v>
      </c>
      <c r="R11" s="26"/>
      <c r="S11" s="141">
        <f t="shared" si="6"/>
        <v>0</v>
      </c>
      <c r="T11" s="26"/>
      <c r="U11" s="141">
        <f t="shared" si="7"/>
        <v>0</v>
      </c>
      <c r="V11" s="26"/>
      <c r="W11" s="141">
        <f t="shared" si="8"/>
        <v>0</v>
      </c>
      <c r="X11" s="26"/>
      <c r="Y11" s="27">
        <f t="shared" ref="Y11:Y12" si="14">Z11*S11</f>
        <v>0</v>
      </c>
      <c r="Z11" s="26"/>
      <c r="AA11" s="122">
        <f t="shared" si="9"/>
        <v>387.19</v>
      </c>
      <c r="AB11" s="176">
        <f t="shared" si="10"/>
        <v>1</v>
      </c>
      <c r="AC11" s="123">
        <f t="shared" si="11"/>
        <v>1</v>
      </c>
    </row>
    <row r="12" spans="1:29" s="137" customFormat="1" x14ac:dyDescent="0.2">
      <c r="A12" s="132" t="s">
        <v>137</v>
      </c>
      <c r="B12" s="132" t="str">
        <f>'Orçamento final pintura asfalto'!B37</f>
        <v>DRENAGEM</v>
      </c>
      <c r="C12" s="133">
        <f>C13</f>
        <v>1024.8599999999999</v>
      </c>
      <c r="D12" s="134">
        <f t="shared" si="12"/>
        <v>1.3565211093194058E-3</v>
      </c>
      <c r="E12" s="135"/>
      <c r="F12" s="134"/>
      <c r="G12" s="177">
        <f t="shared" si="0"/>
        <v>0</v>
      </c>
      <c r="H12" s="134"/>
      <c r="I12" s="177">
        <f t="shared" si="1"/>
        <v>0</v>
      </c>
      <c r="J12" s="134"/>
      <c r="K12" s="177">
        <f t="shared" si="2"/>
        <v>0</v>
      </c>
      <c r="L12" s="134"/>
      <c r="M12" s="177">
        <f t="shared" si="3"/>
        <v>0</v>
      </c>
      <c r="N12" s="134"/>
      <c r="O12" s="177">
        <f t="shared" si="4"/>
        <v>0</v>
      </c>
      <c r="P12" s="134"/>
      <c r="Q12" s="177">
        <f t="shared" si="5"/>
        <v>0</v>
      </c>
      <c r="R12" s="134"/>
      <c r="S12" s="177">
        <f t="shared" si="6"/>
        <v>0</v>
      </c>
      <c r="T12" s="134"/>
      <c r="U12" s="177">
        <f t="shared" si="7"/>
        <v>0</v>
      </c>
      <c r="V12" s="134"/>
      <c r="W12" s="177">
        <f t="shared" si="8"/>
        <v>0</v>
      </c>
      <c r="X12" s="134"/>
      <c r="Y12" s="136">
        <f t="shared" si="14"/>
        <v>0</v>
      </c>
      <c r="Z12" s="134"/>
      <c r="AA12" s="178">
        <f t="shared" si="9"/>
        <v>0</v>
      </c>
      <c r="AB12" s="179">
        <f t="shared" si="10"/>
        <v>0</v>
      </c>
      <c r="AC12" s="180">
        <f t="shared" si="11"/>
        <v>-1023.8599999999999</v>
      </c>
    </row>
    <row r="13" spans="1:29" s="143" customFormat="1" x14ac:dyDescent="0.2">
      <c r="A13" s="138" t="s">
        <v>138</v>
      </c>
      <c r="B13" s="175" t="str">
        <f>'Orçamento final pintura asfalto'!B38</f>
        <v>Alteamento das caixas de captação existente</v>
      </c>
      <c r="C13" s="139">
        <f>'Orçamento final pintura asfalto'!G38</f>
        <v>1024.8599999999999</v>
      </c>
      <c r="D13" s="140">
        <f t="shared" si="12"/>
        <v>1.3565211093194058E-3</v>
      </c>
      <c r="E13" s="141">
        <f t="shared" ref="E13" si="15">F13*C13</f>
        <v>0</v>
      </c>
      <c r="F13" s="140"/>
      <c r="G13" s="141">
        <f t="shared" si="0"/>
        <v>512.42999999999995</v>
      </c>
      <c r="H13" s="140">
        <v>0.5</v>
      </c>
      <c r="I13" s="141">
        <f t="shared" si="1"/>
        <v>512.42999999999995</v>
      </c>
      <c r="J13" s="140">
        <v>0.5</v>
      </c>
      <c r="K13" s="141">
        <f t="shared" si="2"/>
        <v>0</v>
      </c>
      <c r="L13" s="140"/>
      <c r="M13" s="141">
        <f t="shared" si="3"/>
        <v>0</v>
      </c>
      <c r="N13" s="140"/>
      <c r="O13" s="141">
        <f t="shared" si="4"/>
        <v>0</v>
      </c>
      <c r="P13" s="140"/>
      <c r="Q13" s="141">
        <f t="shared" si="5"/>
        <v>0</v>
      </c>
      <c r="R13" s="140"/>
      <c r="S13" s="141">
        <f t="shared" si="6"/>
        <v>0</v>
      </c>
      <c r="T13" s="140"/>
      <c r="U13" s="141">
        <f t="shared" si="7"/>
        <v>0</v>
      </c>
      <c r="V13" s="140"/>
      <c r="W13" s="141">
        <f t="shared" si="8"/>
        <v>0</v>
      </c>
      <c r="X13" s="140"/>
      <c r="Y13" s="142">
        <f>Z13*S13</f>
        <v>0</v>
      </c>
      <c r="Z13" s="140"/>
      <c r="AA13" s="122">
        <f t="shared" si="9"/>
        <v>1024.8599999999999</v>
      </c>
      <c r="AB13" s="176">
        <f t="shared" si="10"/>
        <v>1</v>
      </c>
      <c r="AC13" s="123">
        <f t="shared" si="11"/>
        <v>1</v>
      </c>
    </row>
    <row r="14" spans="1:29" s="137" customFormat="1" x14ac:dyDescent="0.2">
      <c r="A14" s="132" t="s">
        <v>139</v>
      </c>
      <c r="B14" s="132" t="str">
        <f>'Orçamento final pintura asfalto'!B40</f>
        <v>PAVIMENTAÇÃO</v>
      </c>
      <c r="C14" s="133">
        <f>SUM(C15:C18)</f>
        <v>694789.19</v>
      </c>
      <c r="D14" s="134">
        <f t="shared" si="12"/>
        <v>0.91963409905931681</v>
      </c>
      <c r="E14" s="135"/>
      <c r="F14" s="134"/>
      <c r="G14" s="177">
        <f t="shared" si="0"/>
        <v>0</v>
      </c>
      <c r="H14" s="134"/>
      <c r="I14" s="177">
        <f t="shared" si="1"/>
        <v>0</v>
      </c>
      <c r="J14" s="134"/>
      <c r="K14" s="177">
        <f t="shared" si="2"/>
        <v>0</v>
      </c>
      <c r="L14" s="134"/>
      <c r="M14" s="177">
        <f t="shared" si="3"/>
        <v>0</v>
      </c>
      <c r="N14" s="134"/>
      <c r="O14" s="177">
        <f t="shared" si="4"/>
        <v>0</v>
      </c>
      <c r="P14" s="134"/>
      <c r="Q14" s="177">
        <f t="shared" si="5"/>
        <v>0</v>
      </c>
      <c r="R14" s="134"/>
      <c r="S14" s="177">
        <f t="shared" si="6"/>
        <v>0</v>
      </c>
      <c r="T14" s="134"/>
      <c r="U14" s="177">
        <f t="shared" si="7"/>
        <v>0</v>
      </c>
      <c r="V14" s="134"/>
      <c r="W14" s="177">
        <f t="shared" si="8"/>
        <v>0</v>
      </c>
      <c r="X14" s="134"/>
      <c r="Y14" s="136">
        <f t="shared" ref="Y14" si="16">Z14*S14</f>
        <v>0</v>
      </c>
      <c r="Z14" s="134"/>
      <c r="AA14" s="178">
        <f t="shared" si="9"/>
        <v>0</v>
      </c>
      <c r="AB14" s="179">
        <f t="shared" si="10"/>
        <v>0</v>
      </c>
      <c r="AC14" s="180">
        <f t="shared" si="11"/>
        <v>-694788.19</v>
      </c>
    </row>
    <row r="15" spans="1:29" x14ac:dyDescent="0.2">
      <c r="A15" s="120" t="s">
        <v>140</v>
      </c>
      <c r="B15" s="25" t="str">
        <f>'Orçamento final pintura asfalto'!B41</f>
        <v>Recuperação de camadas abaixo do pavimentação existente</v>
      </c>
      <c r="C15" s="126">
        <f>'Orçamento final pintura asfalto'!G41</f>
        <v>31265.919999999998</v>
      </c>
      <c r="D15" s="131">
        <f t="shared" si="12"/>
        <v>4.1384072441398627E-2</v>
      </c>
      <c r="E15" s="141">
        <f t="shared" ref="E15:E18" si="17">F15*C15</f>
        <v>0</v>
      </c>
      <c r="F15" s="26"/>
      <c r="G15" s="141">
        <f t="shared" si="0"/>
        <v>9379.7800000000007</v>
      </c>
      <c r="H15" s="26">
        <v>0.3</v>
      </c>
      <c r="I15" s="141">
        <f t="shared" si="1"/>
        <v>21886.14</v>
      </c>
      <c r="J15" s="26">
        <v>0.7</v>
      </c>
      <c r="K15" s="141">
        <f t="shared" si="2"/>
        <v>0</v>
      </c>
      <c r="L15" s="26"/>
      <c r="M15" s="141">
        <f t="shared" si="3"/>
        <v>0</v>
      </c>
      <c r="N15" s="26"/>
      <c r="O15" s="141">
        <f t="shared" si="4"/>
        <v>0</v>
      </c>
      <c r="P15" s="26"/>
      <c r="Q15" s="141">
        <f t="shared" si="5"/>
        <v>0</v>
      </c>
      <c r="R15" s="26"/>
      <c r="S15" s="141">
        <f t="shared" si="6"/>
        <v>0</v>
      </c>
      <c r="T15" s="26"/>
      <c r="U15" s="141">
        <f t="shared" si="7"/>
        <v>0</v>
      </c>
      <c r="V15" s="26"/>
      <c r="W15" s="141">
        <f t="shared" si="8"/>
        <v>0</v>
      </c>
      <c r="X15" s="26"/>
      <c r="Y15" s="27"/>
      <c r="Z15" s="26"/>
      <c r="AA15" s="122">
        <f t="shared" si="9"/>
        <v>31265.919999999998</v>
      </c>
      <c r="AB15" s="176">
        <f t="shared" si="10"/>
        <v>1</v>
      </c>
      <c r="AC15" s="123">
        <f t="shared" si="11"/>
        <v>1</v>
      </c>
    </row>
    <row r="16" spans="1:29" x14ac:dyDescent="0.2">
      <c r="A16" s="120" t="s">
        <v>141</v>
      </c>
      <c r="B16" s="25" t="str">
        <f>'Orçamento final pintura asfalto'!B42</f>
        <v>Pintura de ligação RR - 2C</v>
      </c>
      <c r="C16" s="126">
        <f>'Orçamento final pintura asfalto'!G42</f>
        <v>16164.23</v>
      </c>
      <c r="D16" s="131">
        <f t="shared" si="12"/>
        <v>2.1395233701085044E-2</v>
      </c>
      <c r="E16" s="141">
        <f t="shared" si="17"/>
        <v>0</v>
      </c>
      <c r="F16" s="26"/>
      <c r="G16" s="141">
        <f t="shared" si="0"/>
        <v>4849.2700000000004</v>
      </c>
      <c r="H16" s="26">
        <v>0.3</v>
      </c>
      <c r="I16" s="141">
        <f t="shared" si="1"/>
        <v>11314.96</v>
      </c>
      <c r="J16" s="26">
        <v>0.7</v>
      </c>
      <c r="K16" s="141">
        <f t="shared" si="2"/>
        <v>0</v>
      </c>
      <c r="L16" s="26"/>
      <c r="M16" s="141">
        <f t="shared" si="3"/>
        <v>0</v>
      </c>
      <c r="N16" s="26"/>
      <c r="O16" s="141">
        <f t="shared" si="4"/>
        <v>0</v>
      </c>
      <c r="P16" s="26"/>
      <c r="Q16" s="141">
        <f t="shared" si="5"/>
        <v>0</v>
      </c>
      <c r="R16" s="26"/>
      <c r="S16" s="141">
        <f t="shared" si="6"/>
        <v>0</v>
      </c>
      <c r="T16" s="26"/>
      <c r="U16" s="141">
        <f t="shared" si="7"/>
        <v>0</v>
      </c>
      <c r="V16" s="26"/>
      <c r="W16" s="141">
        <f t="shared" si="8"/>
        <v>0</v>
      </c>
      <c r="X16" s="26"/>
      <c r="Y16" s="27"/>
      <c r="Z16" s="26"/>
      <c r="AA16" s="122">
        <f t="shared" si="9"/>
        <v>16164.23</v>
      </c>
      <c r="AB16" s="176">
        <f t="shared" si="10"/>
        <v>1</v>
      </c>
      <c r="AC16" s="123">
        <f t="shared" si="11"/>
        <v>1</v>
      </c>
    </row>
    <row r="17" spans="1:29" x14ac:dyDescent="0.2">
      <c r="A17" s="120" t="s">
        <v>142</v>
      </c>
      <c r="B17" s="25" t="str">
        <f>'Orçamento final pintura asfalto'!B43</f>
        <v>Camada de revestimento c/ C.B.U.Q., Faixa ''C'' , e = 7,5 cm "compactado"</v>
      </c>
      <c r="C17" s="126">
        <f>'Orçamento final pintura asfalto'!G43</f>
        <v>625354.43999999994</v>
      </c>
      <c r="D17" s="131">
        <f t="shared" si="12"/>
        <v>0.82772915194915964</v>
      </c>
      <c r="E17" s="141">
        <f t="shared" si="17"/>
        <v>0</v>
      </c>
      <c r="F17" s="26"/>
      <c r="G17" s="141">
        <f t="shared" si="0"/>
        <v>187606.33</v>
      </c>
      <c r="H17" s="26">
        <v>0.3</v>
      </c>
      <c r="I17" s="141">
        <f t="shared" si="1"/>
        <v>437748.11</v>
      </c>
      <c r="J17" s="26">
        <v>0.7</v>
      </c>
      <c r="K17" s="141">
        <f t="shared" si="2"/>
        <v>0</v>
      </c>
      <c r="L17" s="26"/>
      <c r="M17" s="141">
        <f t="shared" si="3"/>
        <v>0</v>
      </c>
      <c r="N17" s="26"/>
      <c r="O17" s="141">
        <f t="shared" si="4"/>
        <v>0</v>
      </c>
      <c r="P17" s="26"/>
      <c r="Q17" s="141">
        <f t="shared" si="5"/>
        <v>0</v>
      </c>
      <c r="R17" s="26"/>
      <c r="S17" s="141">
        <f t="shared" si="6"/>
        <v>0</v>
      </c>
      <c r="T17" s="26"/>
      <c r="U17" s="141">
        <f t="shared" si="7"/>
        <v>0</v>
      </c>
      <c r="V17" s="26"/>
      <c r="W17" s="141">
        <f t="shared" si="8"/>
        <v>0</v>
      </c>
      <c r="X17" s="26"/>
      <c r="Y17" s="27"/>
      <c r="Z17" s="26"/>
      <c r="AA17" s="122">
        <f t="shared" si="9"/>
        <v>625354.43999999994</v>
      </c>
      <c r="AB17" s="176">
        <f t="shared" si="10"/>
        <v>1</v>
      </c>
      <c r="AC17" s="123">
        <f t="shared" si="11"/>
        <v>1</v>
      </c>
    </row>
    <row r="18" spans="1:29" x14ac:dyDescent="0.2">
      <c r="A18" s="120" t="s">
        <v>143</v>
      </c>
      <c r="B18" s="25" t="str">
        <f>'Orçamento final pintura asfalto'!B44</f>
        <v>Transporte de C.B.U.Q</v>
      </c>
      <c r="C18" s="126">
        <f>'Orçamento final pintura asfalto'!G44</f>
        <v>22004.6</v>
      </c>
      <c r="D18" s="131">
        <f t="shared" si="12"/>
        <v>2.9125640967673436E-2</v>
      </c>
      <c r="E18" s="141">
        <f t="shared" si="17"/>
        <v>0</v>
      </c>
      <c r="F18" s="26"/>
      <c r="G18" s="141">
        <f t="shared" si="0"/>
        <v>6601.38</v>
      </c>
      <c r="H18" s="26">
        <v>0.3</v>
      </c>
      <c r="I18" s="141">
        <f t="shared" si="1"/>
        <v>15403.22</v>
      </c>
      <c r="J18" s="26">
        <v>0.7</v>
      </c>
      <c r="K18" s="141">
        <f t="shared" si="2"/>
        <v>0</v>
      </c>
      <c r="L18" s="26"/>
      <c r="M18" s="141">
        <f t="shared" si="3"/>
        <v>0</v>
      </c>
      <c r="N18" s="26"/>
      <c r="O18" s="141">
        <f t="shared" si="4"/>
        <v>0</v>
      </c>
      <c r="P18" s="26"/>
      <c r="Q18" s="141">
        <f t="shared" si="5"/>
        <v>0</v>
      </c>
      <c r="R18" s="26"/>
      <c r="S18" s="141">
        <f t="shared" si="6"/>
        <v>0</v>
      </c>
      <c r="T18" s="26"/>
      <c r="U18" s="141">
        <f t="shared" si="7"/>
        <v>0</v>
      </c>
      <c r="V18" s="26"/>
      <c r="W18" s="141">
        <f t="shared" si="8"/>
        <v>0</v>
      </c>
      <c r="X18" s="26"/>
      <c r="Y18" s="27">
        <f t="shared" ref="Y18:Y19" si="18">Z18*S18</f>
        <v>0</v>
      </c>
      <c r="Z18" s="26"/>
      <c r="AA18" s="122">
        <f t="shared" si="9"/>
        <v>22004.6</v>
      </c>
      <c r="AB18" s="176">
        <f t="shared" si="10"/>
        <v>1</v>
      </c>
      <c r="AC18" s="123">
        <f t="shared" si="11"/>
        <v>1</v>
      </c>
    </row>
    <row r="19" spans="1:29" s="137" customFormat="1" x14ac:dyDescent="0.2">
      <c r="A19" s="132" t="s">
        <v>144</v>
      </c>
      <c r="B19" s="132" t="str">
        <f>'Orçamento final pintura asfalto'!B46</f>
        <v>SINALIZAÇÃO</v>
      </c>
      <c r="C19" s="133">
        <f>SUM(C20:C24)</f>
        <v>54213.700000000004</v>
      </c>
      <c r="D19" s="134">
        <f t="shared" si="12"/>
        <v>7.1758121562271418E-2</v>
      </c>
      <c r="E19" s="135"/>
      <c r="F19" s="134"/>
      <c r="G19" s="136">
        <f t="shared" ref="G19:G24" si="19">H19*C19</f>
        <v>0</v>
      </c>
      <c r="H19" s="134"/>
      <c r="I19" s="177">
        <f t="shared" si="1"/>
        <v>0</v>
      </c>
      <c r="J19" s="134"/>
      <c r="K19" s="177">
        <f t="shared" si="2"/>
        <v>0</v>
      </c>
      <c r="L19" s="134"/>
      <c r="M19" s="177">
        <f t="shared" si="3"/>
        <v>0</v>
      </c>
      <c r="N19" s="134"/>
      <c r="O19" s="177">
        <f t="shared" si="4"/>
        <v>0</v>
      </c>
      <c r="P19" s="134"/>
      <c r="Q19" s="177">
        <f t="shared" si="5"/>
        <v>0</v>
      </c>
      <c r="R19" s="134"/>
      <c r="S19" s="177">
        <f t="shared" si="6"/>
        <v>0</v>
      </c>
      <c r="T19" s="134"/>
      <c r="U19" s="177">
        <f t="shared" si="7"/>
        <v>0</v>
      </c>
      <c r="V19" s="134"/>
      <c r="W19" s="177">
        <f t="shared" si="8"/>
        <v>0</v>
      </c>
      <c r="X19" s="134"/>
      <c r="Y19" s="136">
        <f t="shared" si="18"/>
        <v>0</v>
      </c>
      <c r="Z19" s="134"/>
      <c r="AA19" s="178">
        <f t="shared" si="9"/>
        <v>0</v>
      </c>
      <c r="AB19" s="179">
        <f t="shared" si="10"/>
        <v>0</v>
      </c>
      <c r="AC19" s="180">
        <f t="shared" si="11"/>
        <v>-54212.700000000004</v>
      </c>
    </row>
    <row r="20" spans="1:29" x14ac:dyDescent="0.2">
      <c r="A20" s="120" t="s">
        <v>145</v>
      </c>
      <c r="B20" s="25" t="str">
        <f>'Orçamento final pintura asfalto'!B47</f>
        <v>Pintura a quente (eixo da via e faixas e setas)</v>
      </c>
      <c r="C20" s="126">
        <f>'Orçamento final pintura asfalto'!G47</f>
        <v>7239.82</v>
      </c>
      <c r="D20" s="131">
        <f t="shared" si="12"/>
        <v>9.5827416990348149E-3</v>
      </c>
      <c r="E20" s="141">
        <f>F20*C20</f>
        <v>0</v>
      </c>
      <c r="F20" s="26"/>
      <c r="G20" s="141">
        <f t="shared" si="19"/>
        <v>0</v>
      </c>
      <c r="H20" s="26"/>
      <c r="I20" s="141">
        <f t="shared" si="1"/>
        <v>7239.82</v>
      </c>
      <c r="J20" s="26">
        <v>1</v>
      </c>
      <c r="K20" s="141">
        <f t="shared" si="2"/>
        <v>0</v>
      </c>
      <c r="L20" s="26"/>
      <c r="M20" s="141">
        <f t="shared" si="3"/>
        <v>0</v>
      </c>
      <c r="N20" s="26"/>
      <c r="O20" s="141">
        <f t="shared" si="4"/>
        <v>0</v>
      </c>
      <c r="P20" s="26"/>
      <c r="Q20" s="141">
        <f t="shared" si="5"/>
        <v>0</v>
      </c>
      <c r="R20" s="26"/>
      <c r="S20" s="141">
        <f t="shared" si="6"/>
        <v>0</v>
      </c>
      <c r="T20" s="26"/>
      <c r="U20" s="141">
        <f t="shared" si="7"/>
        <v>0</v>
      </c>
      <c r="V20" s="26"/>
      <c r="W20" s="141">
        <f t="shared" si="8"/>
        <v>0</v>
      </c>
      <c r="X20" s="26"/>
      <c r="Y20" s="27"/>
      <c r="Z20" s="26"/>
      <c r="AA20" s="122">
        <f t="shared" si="9"/>
        <v>7239.82</v>
      </c>
      <c r="AB20" s="176">
        <f t="shared" si="10"/>
        <v>1</v>
      </c>
      <c r="AC20" s="123">
        <f t="shared" si="11"/>
        <v>1</v>
      </c>
    </row>
    <row r="21" spans="1:29" x14ac:dyDescent="0.2">
      <c r="A21" s="120" t="s">
        <v>146</v>
      </c>
      <c r="B21" s="25" t="str">
        <f>'Orçamento final pintura asfalto'!B48</f>
        <v>Pintura a frio (vagas de estacionamento)</v>
      </c>
      <c r="C21" s="126">
        <f>'Orçamento final pintura asfalto'!G48</f>
        <v>22650.240000000002</v>
      </c>
      <c r="D21" s="131">
        <f t="shared" ref="D21:D22" si="20">C21/$C$25</f>
        <v>2.9980220411715535E-2</v>
      </c>
      <c r="E21" s="141">
        <f t="shared" ref="E21:E22" si="21">F21*C21</f>
        <v>0</v>
      </c>
      <c r="F21" s="26"/>
      <c r="G21" s="141">
        <f t="shared" ref="G21:G22" si="22">H21*C21</f>
        <v>0</v>
      </c>
      <c r="H21" s="26"/>
      <c r="I21" s="141">
        <f t="shared" si="1"/>
        <v>22650.240000000002</v>
      </c>
      <c r="J21" s="26">
        <v>1</v>
      </c>
      <c r="K21" s="141">
        <f t="shared" si="2"/>
        <v>0</v>
      </c>
      <c r="L21" s="26"/>
      <c r="M21" s="141">
        <f t="shared" si="3"/>
        <v>0</v>
      </c>
      <c r="N21" s="26"/>
      <c r="O21" s="141">
        <f t="shared" si="4"/>
        <v>0</v>
      </c>
      <c r="P21" s="26"/>
      <c r="Q21" s="141">
        <f t="shared" si="5"/>
        <v>0</v>
      </c>
      <c r="R21" s="26"/>
      <c r="S21" s="141">
        <f t="shared" si="6"/>
        <v>0</v>
      </c>
      <c r="T21" s="26"/>
      <c r="U21" s="141">
        <f t="shared" si="7"/>
        <v>0</v>
      </c>
      <c r="V21" s="26"/>
      <c r="W21" s="141">
        <f t="shared" si="8"/>
        <v>0</v>
      </c>
      <c r="X21" s="26"/>
      <c r="Y21" s="27"/>
      <c r="Z21" s="26"/>
      <c r="AA21" s="122">
        <f t="shared" si="9"/>
        <v>22650.240000000002</v>
      </c>
      <c r="AB21" s="176">
        <f t="shared" si="10"/>
        <v>1</v>
      </c>
      <c r="AC21" s="123">
        <f t="shared" si="11"/>
        <v>1</v>
      </c>
    </row>
    <row r="22" spans="1:29" x14ac:dyDescent="0.2">
      <c r="A22" s="120" t="s">
        <v>147</v>
      </c>
      <c r="B22" s="25" t="str">
        <f>'Orçamento final pintura asfalto'!B49</f>
        <v>Tachão monodirecional</v>
      </c>
      <c r="C22" s="126">
        <f>'Orçamento final pintura asfalto'!G49</f>
        <v>12486.24</v>
      </c>
      <c r="D22" s="131">
        <f t="shared" si="20"/>
        <v>1.6526987233405867E-2</v>
      </c>
      <c r="E22" s="141">
        <f t="shared" si="21"/>
        <v>0</v>
      </c>
      <c r="F22" s="26"/>
      <c r="G22" s="141">
        <f t="shared" si="22"/>
        <v>0</v>
      </c>
      <c r="H22" s="26"/>
      <c r="I22" s="141">
        <f t="shared" si="1"/>
        <v>12486.24</v>
      </c>
      <c r="J22" s="26">
        <v>1</v>
      </c>
      <c r="K22" s="141">
        <f t="shared" si="2"/>
        <v>0</v>
      </c>
      <c r="L22" s="26"/>
      <c r="M22" s="141">
        <f t="shared" si="3"/>
        <v>0</v>
      </c>
      <c r="N22" s="26"/>
      <c r="O22" s="141">
        <f t="shared" si="4"/>
        <v>0</v>
      </c>
      <c r="P22" s="26"/>
      <c r="Q22" s="141">
        <f t="shared" si="5"/>
        <v>0</v>
      </c>
      <c r="R22" s="26"/>
      <c r="S22" s="141">
        <f t="shared" si="6"/>
        <v>0</v>
      </c>
      <c r="T22" s="26"/>
      <c r="U22" s="141">
        <f t="shared" si="7"/>
        <v>0</v>
      </c>
      <c r="V22" s="26"/>
      <c r="W22" s="141">
        <f t="shared" si="8"/>
        <v>0</v>
      </c>
      <c r="X22" s="26"/>
      <c r="Y22" s="27"/>
      <c r="Z22" s="26"/>
      <c r="AA22" s="122">
        <f t="shared" si="9"/>
        <v>12486.24</v>
      </c>
      <c r="AB22" s="176">
        <f t="shared" si="10"/>
        <v>1</v>
      </c>
      <c r="AC22" s="123">
        <f t="shared" si="11"/>
        <v>1</v>
      </c>
    </row>
    <row r="23" spans="1:29" x14ac:dyDescent="0.2">
      <c r="A23" s="120" t="s">
        <v>221</v>
      </c>
      <c r="B23" s="25" t="str">
        <f>'Orçamento final pintura asfalto'!B50</f>
        <v>Tacha monodirecional</v>
      </c>
      <c r="C23" s="126">
        <f>'Orçamento final pintura asfalto'!G50</f>
        <v>2242.7199999999998</v>
      </c>
      <c r="D23" s="131">
        <f t="shared" ref="D23:D24" si="23">C23/$C$25</f>
        <v>2.968500109568934E-3</v>
      </c>
      <c r="E23" s="141">
        <f t="shared" ref="E23:E24" si="24">F23*C23</f>
        <v>0</v>
      </c>
      <c r="F23" s="26"/>
      <c r="G23" s="141">
        <f t="shared" si="19"/>
        <v>0</v>
      </c>
      <c r="H23" s="26"/>
      <c r="I23" s="141">
        <f t="shared" si="1"/>
        <v>2242.7199999999998</v>
      </c>
      <c r="J23" s="26">
        <v>1</v>
      </c>
      <c r="K23" s="141">
        <f t="shared" si="2"/>
        <v>0</v>
      </c>
      <c r="L23" s="26"/>
      <c r="M23" s="141">
        <f t="shared" si="3"/>
        <v>0</v>
      </c>
      <c r="N23" s="26"/>
      <c r="O23" s="141">
        <f t="shared" si="4"/>
        <v>0</v>
      </c>
      <c r="P23" s="26"/>
      <c r="Q23" s="141">
        <f t="shared" si="5"/>
        <v>0</v>
      </c>
      <c r="R23" s="26"/>
      <c r="S23" s="141">
        <f t="shared" si="6"/>
        <v>0</v>
      </c>
      <c r="T23" s="26"/>
      <c r="U23" s="141">
        <f t="shared" si="7"/>
        <v>0</v>
      </c>
      <c r="V23" s="26"/>
      <c r="W23" s="141">
        <f t="shared" si="8"/>
        <v>0</v>
      </c>
      <c r="X23" s="26"/>
      <c r="Y23" s="27"/>
      <c r="Z23" s="26"/>
      <c r="AA23" s="122">
        <f t="shared" si="9"/>
        <v>2242.7199999999998</v>
      </c>
      <c r="AB23" s="176">
        <f t="shared" si="10"/>
        <v>1</v>
      </c>
      <c r="AC23" s="123">
        <f t="shared" si="11"/>
        <v>1</v>
      </c>
    </row>
    <row r="24" spans="1:29" x14ac:dyDescent="0.2">
      <c r="A24" s="120" t="s">
        <v>222</v>
      </c>
      <c r="B24" s="25" t="str">
        <f>'Orçamento final pintura asfalto'!B51</f>
        <v>Segregador</v>
      </c>
      <c r="C24" s="126">
        <f>'Orçamento final pintura asfalto'!G51</f>
        <v>9594.68</v>
      </c>
      <c r="D24" s="131">
        <f t="shared" si="23"/>
        <v>1.2699672108546257E-2</v>
      </c>
      <c r="E24" s="141">
        <f t="shared" si="24"/>
        <v>0</v>
      </c>
      <c r="F24" s="26"/>
      <c r="G24" s="141">
        <f t="shared" si="19"/>
        <v>0</v>
      </c>
      <c r="H24" s="26"/>
      <c r="I24" s="141">
        <f t="shared" si="1"/>
        <v>9594.68</v>
      </c>
      <c r="J24" s="26">
        <v>1</v>
      </c>
      <c r="K24" s="141">
        <f t="shared" si="2"/>
        <v>0</v>
      </c>
      <c r="L24" s="26"/>
      <c r="M24" s="141">
        <f t="shared" si="3"/>
        <v>0</v>
      </c>
      <c r="N24" s="26"/>
      <c r="O24" s="141">
        <f t="shared" si="4"/>
        <v>0</v>
      </c>
      <c r="P24" s="26"/>
      <c r="Q24" s="141">
        <f t="shared" si="5"/>
        <v>0</v>
      </c>
      <c r="R24" s="26"/>
      <c r="S24" s="141">
        <f t="shared" si="6"/>
        <v>0</v>
      </c>
      <c r="T24" s="26"/>
      <c r="U24" s="141">
        <f t="shared" si="7"/>
        <v>0</v>
      </c>
      <c r="V24" s="26"/>
      <c r="W24" s="141">
        <f t="shared" si="8"/>
        <v>0</v>
      </c>
      <c r="X24" s="26"/>
      <c r="Y24" s="27"/>
      <c r="Z24" s="26"/>
      <c r="AA24" s="122">
        <f t="shared" si="9"/>
        <v>9594.68</v>
      </c>
      <c r="AB24" s="176">
        <f t="shared" si="10"/>
        <v>1</v>
      </c>
      <c r="AC24" s="123">
        <f t="shared" si="11"/>
        <v>1</v>
      </c>
    </row>
    <row r="25" spans="1:29" s="6" customFormat="1" x14ac:dyDescent="0.2">
      <c r="A25" s="28"/>
      <c r="B25" s="28" t="s">
        <v>37</v>
      </c>
      <c r="C25" s="129">
        <f>C19+C14+C12+C8</f>
        <v>755506.11999999988</v>
      </c>
      <c r="D25" s="29">
        <f>C25/C108</f>
        <v>0.17470115793787472</v>
      </c>
      <c r="E25" s="121"/>
      <c r="F25" s="28"/>
      <c r="G25" s="30"/>
      <c r="H25" s="29"/>
      <c r="I25" s="141">
        <f t="shared" si="1"/>
        <v>0</v>
      </c>
      <c r="J25" s="29"/>
      <c r="K25" s="141">
        <f t="shared" si="2"/>
        <v>0</v>
      </c>
      <c r="L25" s="28"/>
      <c r="M25" s="141">
        <f t="shared" si="3"/>
        <v>0</v>
      </c>
      <c r="N25" s="29"/>
      <c r="O25" s="141">
        <f t="shared" si="4"/>
        <v>0</v>
      </c>
      <c r="P25" s="29"/>
      <c r="Q25" s="141">
        <f t="shared" si="5"/>
        <v>0</v>
      </c>
      <c r="R25" s="28"/>
      <c r="S25" s="141">
        <f t="shared" si="6"/>
        <v>0</v>
      </c>
      <c r="T25" s="29"/>
      <c r="U25" s="141">
        <f t="shared" si="7"/>
        <v>0</v>
      </c>
      <c r="V25" s="29"/>
      <c r="W25" s="141">
        <f t="shared" si="8"/>
        <v>0</v>
      </c>
      <c r="X25" s="29"/>
      <c r="Y25" s="30"/>
      <c r="Z25" s="29"/>
      <c r="AA25" s="122">
        <f t="shared" si="9"/>
        <v>0</v>
      </c>
      <c r="AB25" s="176">
        <f t="shared" si="10"/>
        <v>0</v>
      </c>
      <c r="AC25" s="123">
        <f t="shared" si="11"/>
        <v>-755505.11999999988</v>
      </c>
    </row>
    <row r="26" spans="1:29" s="137" customFormat="1" x14ac:dyDescent="0.2">
      <c r="A26" s="132"/>
      <c r="B26" s="132" t="str">
        <f>'Orçamento final pintura asfalto'!B55</f>
        <v>RUA MARECHAL DEODORO DESDE RUA HONDURAS ATÉ RUA MÔNACO - TIMBÓ - SC</v>
      </c>
      <c r="C26" s="133"/>
      <c r="D26" s="134"/>
      <c r="E26" s="135"/>
      <c r="F26" s="134"/>
      <c r="G26" s="136"/>
      <c r="H26" s="134"/>
      <c r="I26" s="177">
        <f t="shared" si="1"/>
        <v>0</v>
      </c>
      <c r="J26" s="134"/>
      <c r="K26" s="177">
        <f t="shared" si="2"/>
        <v>0</v>
      </c>
      <c r="L26" s="134"/>
      <c r="M26" s="177">
        <f t="shared" si="3"/>
        <v>0</v>
      </c>
      <c r="N26" s="134"/>
      <c r="O26" s="177">
        <f t="shared" si="4"/>
        <v>0</v>
      </c>
      <c r="P26" s="134"/>
      <c r="Q26" s="177">
        <f t="shared" si="5"/>
        <v>0</v>
      </c>
      <c r="R26" s="134"/>
      <c r="S26" s="177">
        <f t="shared" si="6"/>
        <v>0</v>
      </c>
      <c r="T26" s="134"/>
      <c r="U26" s="177">
        <f t="shared" si="7"/>
        <v>0</v>
      </c>
      <c r="V26" s="134"/>
      <c r="W26" s="177">
        <f t="shared" si="8"/>
        <v>0</v>
      </c>
      <c r="X26" s="134"/>
      <c r="Y26" s="136"/>
      <c r="Z26" s="134"/>
      <c r="AA26" s="178">
        <f t="shared" si="9"/>
        <v>0</v>
      </c>
      <c r="AB26" s="179">
        <f t="shared" si="10"/>
        <v>0</v>
      </c>
      <c r="AC26" s="180">
        <f t="shared" si="11"/>
        <v>1</v>
      </c>
    </row>
    <row r="27" spans="1:29" s="137" customFormat="1" x14ac:dyDescent="0.2">
      <c r="A27" s="132" t="s">
        <v>10</v>
      </c>
      <c r="B27" s="132" t="str">
        <f>'Orçamento final pintura asfalto'!B58</f>
        <v>SERVIÇOS INICIAIS</v>
      </c>
      <c r="C27" s="133">
        <f>SUM(C28:C30)</f>
        <v>5188.68</v>
      </c>
      <c r="D27" s="134">
        <f t="shared" ref="D27:D38" si="25">C27/$C$44</f>
        <v>7.4845917745797932E-3</v>
      </c>
      <c r="E27" s="135">
        <f>F27*C27</f>
        <v>0</v>
      </c>
      <c r="F27" s="134"/>
      <c r="G27" s="136">
        <f>H27*C27</f>
        <v>0</v>
      </c>
      <c r="H27" s="134"/>
      <c r="I27" s="177">
        <f t="shared" si="1"/>
        <v>0</v>
      </c>
      <c r="J27" s="134"/>
      <c r="K27" s="177">
        <f t="shared" si="2"/>
        <v>0</v>
      </c>
      <c r="L27" s="134"/>
      <c r="M27" s="177">
        <f t="shared" si="3"/>
        <v>0</v>
      </c>
      <c r="N27" s="134"/>
      <c r="O27" s="177">
        <f t="shared" si="4"/>
        <v>0</v>
      </c>
      <c r="P27" s="134"/>
      <c r="Q27" s="177">
        <f t="shared" si="5"/>
        <v>0</v>
      </c>
      <c r="R27" s="134"/>
      <c r="S27" s="177">
        <f t="shared" si="6"/>
        <v>0</v>
      </c>
      <c r="T27" s="134"/>
      <c r="U27" s="177">
        <f t="shared" si="7"/>
        <v>0</v>
      </c>
      <c r="V27" s="134"/>
      <c r="W27" s="177">
        <f t="shared" si="8"/>
        <v>0</v>
      </c>
      <c r="X27" s="134"/>
      <c r="Y27" s="136">
        <f>Z27*S27</f>
        <v>0</v>
      </c>
      <c r="Z27" s="134"/>
      <c r="AA27" s="178">
        <f t="shared" si="9"/>
        <v>0</v>
      </c>
      <c r="AB27" s="179">
        <f t="shared" si="10"/>
        <v>0</v>
      </c>
      <c r="AC27" s="180">
        <f t="shared" si="11"/>
        <v>-5187.68</v>
      </c>
    </row>
    <row r="28" spans="1:29" x14ac:dyDescent="0.2">
      <c r="A28" s="120" t="s">
        <v>148</v>
      </c>
      <c r="B28" s="175" t="str">
        <f>'Orçamento final pintura asfalto'!B59</f>
        <v>Placa de Obra, conforme padrão da Caixa (tamanho mínimo 2,00mx1,25m)</v>
      </c>
      <c r="C28" s="126">
        <f>'Orçamento final pintura asfalto'!G59</f>
        <v>923.05</v>
      </c>
      <c r="D28" s="131">
        <f t="shared" si="25"/>
        <v>1.3314855488343619E-3</v>
      </c>
      <c r="E28" s="141">
        <f t="shared" ref="E28:E30" si="26">F28*C28</f>
        <v>0</v>
      </c>
      <c r="F28" s="26"/>
      <c r="G28" s="141"/>
      <c r="H28" s="26"/>
      <c r="I28" s="141">
        <f t="shared" si="1"/>
        <v>0</v>
      </c>
      <c r="J28" s="26"/>
      <c r="K28" s="141">
        <f t="shared" si="2"/>
        <v>923.05</v>
      </c>
      <c r="L28" s="26">
        <v>1</v>
      </c>
      <c r="M28" s="141">
        <f t="shared" si="3"/>
        <v>0</v>
      </c>
      <c r="N28" s="26"/>
      <c r="O28" s="141">
        <f t="shared" si="4"/>
        <v>0</v>
      </c>
      <c r="P28" s="26"/>
      <c r="Q28" s="141">
        <f t="shared" si="5"/>
        <v>0</v>
      </c>
      <c r="R28" s="26"/>
      <c r="S28" s="141">
        <f t="shared" si="6"/>
        <v>0</v>
      </c>
      <c r="T28" s="26"/>
      <c r="U28" s="141">
        <f t="shared" si="7"/>
        <v>0</v>
      </c>
      <c r="V28" s="26"/>
      <c r="W28" s="141">
        <f t="shared" si="8"/>
        <v>0</v>
      </c>
      <c r="X28" s="26"/>
      <c r="Y28" s="27"/>
      <c r="Z28" s="26"/>
      <c r="AA28" s="122">
        <f t="shared" si="9"/>
        <v>923.05</v>
      </c>
      <c r="AB28" s="176">
        <f t="shared" si="10"/>
        <v>1</v>
      </c>
      <c r="AC28" s="123">
        <f t="shared" si="11"/>
        <v>1</v>
      </c>
    </row>
    <row r="29" spans="1:29" x14ac:dyDescent="0.2">
      <c r="A29" s="120" t="s">
        <v>149</v>
      </c>
      <c r="B29" s="175" t="str">
        <f>'Orçamento final pintura asfalto'!B60</f>
        <v>Locação da obra com uso de equipamentos topográficos, inclusive topógrafo e nivelador</v>
      </c>
      <c r="C29" s="126">
        <f>'Orçamento final pintura asfalto'!G60</f>
        <v>3893.12</v>
      </c>
      <c r="D29" s="131">
        <f t="shared" si="25"/>
        <v>5.6157662313829496E-3</v>
      </c>
      <c r="E29" s="141">
        <f t="shared" si="26"/>
        <v>0</v>
      </c>
      <c r="F29" s="26"/>
      <c r="G29" s="141"/>
      <c r="H29" s="26"/>
      <c r="I29" s="27"/>
      <c r="J29" s="26"/>
      <c r="K29" s="141">
        <f t="shared" si="2"/>
        <v>3893.12</v>
      </c>
      <c r="L29" s="26">
        <v>1</v>
      </c>
      <c r="M29" s="141">
        <f t="shared" si="3"/>
        <v>0</v>
      </c>
      <c r="N29" s="26"/>
      <c r="O29" s="141">
        <f t="shared" si="4"/>
        <v>0</v>
      </c>
      <c r="P29" s="26"/>
      <c r="Q29" s="141">
        <f t="shared" si="5"/>
        <v>0</v>
      </c>
      <c r="R29" s="26"/>
      <c r="S29" s="141">
        <f t="shared" si="6"/>
        <v>0</v>
      </c>
      <c r="T29" s="26"/>
      <c r="U29" s="141">
        <f t="shared" si="7"/>
        <v>0</v>
      </c>
      <c r="V29" s="26"/>
      <c r="W29" s="141">
        <f t="shared" si="8"/>
        <v>0</v>
      </c>
      <c r="X29" s="26"/>
      <c r="Y29" s="27"/>
      <c r="Z29" s="26"/>
      <c r="AA29" s="122">
        <f t="shared" si="9"/>
        <v>3893.12</v>
      </c>
      <c r="AB29" s="176">
        <f t="shared" si="10"/>
        <v>1</v>
      </c>
      <c r="AC29" s="123">
        <f t="shared" si="11"/>
        <v>1</v>
      </c>
    </row>
    <row r="30" spans="1:29" x14ac:dyDescent="0.2">
      <c r="A30" s="120" t="s">
        <v>150</v>
      </c>
      <c r="B30" s="175" t="str">
        <f>'Orçamento final pintura asfalto'!B61</f>
        <v>Caminhão pipa 10.000 l trucado, peso bruto total 23.000 kg, carga útil máxima 15.935 kg, distância entre eixos 4,8 m, potência 230 cv, inclusive tanque de aço para transporte de água (lavar paralelipípedo)</v>
      </c>
      <c r="C30" s="126">
        <f>'Orçamento final pintura asfalto'!G61</f>
        <v>372.51</v>
      </c>
      <c r="D30" s="131">
        <f t="shared" si="25"/>
        <v>5.3733999436248109E-4</v>
      </c>
      <c r="E30" s="141">
        <f t="shared" si="26"/>
        <v>0</v>
      </c>
      <c r="F30" s="26"/>
      <c r="G30" s="141"/>
      <c r="H30" s="26"/>
      <c r="I30" s="27"/>
      <c r="J30" s="26"/>
      <c r="K30" s="141">
        <f t="shared" si="2"/>
        <v>372.51</v>
      </c>
      <c r="L30" s="26">
        <v>1</v>
      </c>
      <c r="M30" s="141">
        <f t="shared" si="3"/>
        <v>0</v>
      </c>
      <c r="N30" s="26"/>
      <c r="O30" s="141">
        <f t="shared" si="4"/>
        <v>0</v>
      </c>
      <c r="P30" s="26"/>
      <c r="Q30" s="141">
        <f t="shared" si="5"/>
        <v>0</v>
      </c>
      <c r="R30" s="26"/>
      <c r="S30" s="141">
        <f t="shared" si="6"/>
        <v>0</v>
      </c>
      <c r="T30" s="26"/>
      <c r="U30" s="141">
        <f t="shared" si="7"/>
        <v>0</v>
      </c>
      <c r="V30" s="26"/>
      <c r="W30" s="141">
        <f t="shared" si="8"/>
        <v>0</v>
      </c>
      <c r="X30" s="26"/>
      <c r="Y30" s="27"/>
      <c r="Z30" s="26"/>
      <c r="AA30" s="122">
        <f t="shared" si="9"/>
        <v>372.51</v>
      </c>
      <c r="AB30" s="176">
        <f t="shared" si="10"/>
        <v>1</v>
      </c>
      <c r="AC30" s="123">
        <f t="shared" si="11"/>
        <v>1</v>
      </c>
    </row>
    <row r="31" spans="1:29" s="137" customFormat="1" x14ac:dyDescent="0.2">
      <c r="A31" s="132" t="s">
        <v>11</v>
      </c>
      <c r="B31" s="132" t="str">
        <f>'Orçamento final pintura asfalto'!B63</f>
        <v>DRENAGEM</v>
      </c>
      <c r="C31" s="133">
        <f>C32</f>
        <v>970.92</v>
      </c>
      <c r="D31" s="134">
        <f t="shared" si="25"/>
        <v>1.4005372938348504E-3</v>
      </c>
      <c r="E31" s="135"/>
      <c r="F31" s="134"/>
      <c r="G31" s="136"/>
      <c r="H31" s="134"/>
      <c r="I31" s="136"/>
      <c r="J31" s="134"/>
      <c r="K31" s="177">
        <f t="shared" si="2"/>
        <v>0</v>
      </c>
      <c r="L31" s="134"/>
      <c r="M31" s="177">
        <f t="shared" si="3"/>
        <v>0</v>
      </c>
      <c r="N31" s="134"/>
      <c r="O31" s="177">
        <f t="shared" si="4"/>
        <v>0</v>
      </c>
      <c r="P31" s="134"/>
      <c r="Q31" s="177">
        <f t="shared" si="5"/>
        <v>0</v>
      </c>
      <c r="R31" s="134"/>
      <c r="S31" s="177">
        <f t="shared" si="6"/>
        <v>0</v>
      </c>
      <c r="T31" s="134"/>
      <c r="U31" s="177">
        <f t="shared" si="7"/>
        <v>0</v>
      </c>
      <c r="V31" s="134"/>
      <c r="W31" s="177">
        <f t="shared" si="8"/>
        <v>0</v>
      </c>
      <c r="X31" s="134"/>
      <c r="Y31" s="136"/>
      <c r="Z31" s="134"/>
      <c r="AA31" s="178">
        <f t="shared" si="9"/>
        <v>0</v>
      </c>
      <c r="AB31" s="179">
        <f t="shared" si="10"/>
        <v>0</v>
      </c>
      <c r="AC31" s="180">
        <f t="shared" si="11"/>
        <v>-969.92</v>
      </c>
    </row>
    <row r="32" spans="1:29" s="143" customFormat="1" x14ac:dyDescent="0.2">
      <c r="A32" s="138" t="s">
        <v>151</v>
      </c>
      <c r="B32" s="175" t="str">
        <f>'Orçamento final pintura asfalto'!B64</f>
        <v>Alteamento das caixas de captação existente</v>
      </c>
      <c r="C32" s="139">
        <f>'Orçamento final pintura asfalto'!G64</f>
        <v>970.92</v>
      </c>
      <c r="D32" s="140">
        <f t="shared" si="25"/>
        <v>1.4005372938348504E-3</v>
      </c>
      <c r="E32" s="141">
        <f t="shared" ref="E32" si="27">F32*C32</f>
        <v>0</v>
      </c>
      <c r="F32" s="140"/>
      <c r="G32" s="141"/>
      <c r="H32" s="140"/>
      <c r="I32" s="141"/>
      <c r="J32" s="140"/>
      <c r="K32" s="141">
        <f t="shared" si="2"/>
        <v>485.46</v>
      </c>
      <c r="L32" s="140">
        <v>0.5</v>
      </c>
      <c r="M32" s="141">
        <f t="shared" si="3"/>
        <v>485.46</v>
      </c>
      <c r="N32" s="140">
        <v>0.5</v>
      </c>
      <c r="O32" s="141">
        <f t="shared" si="4"/>
        <v>0</v>
      </c>
      <c r="P32" s="140"/>
      <c r="Q32" s="141">
        <f t="shared" si="5"/>
        <v>0</v>
      </c>
      <c r="R32" s="140"/>
      <c r="S32" s="141">
        <f t="shared" si="6"/>
        <v>0</v>
      </c>
      <c r="T32" s="140"/>
      <c r="U32" s="141">
        <f t="shared" si="7"/>
        <v>0</v>
      </c>
      <c r="V32" s="140"/>
      <c r="W32" s="141">
        <f t="shared" si="8"/>
        <v>0</v>
      </c>
      <c r="X32" s="140"/>
      <c r="Y32" s="142"/>
      <c r="Z32" s="140"/>
      <c r="AA32" s="122">
        <f t="shared" si="9"/>
        <v>970.92</v>
      </c>
      <c r="AB32" s="176">
        <f t="shared" si="10"/>
        <v>1</v>
      </c>
      <c r="AC32" s="123">
        <f t="shared" si="11"/>
        <v>1</v>
      </c>
    </row>
    <row r="33" spans="1:29" s="137" customFormat="1" x14ac:dyDescent="0.2">
      <c r="A33" s="132" t="s">
        <v>19</v>
      </c>
      <c r="B33" s="132" t="str">
        <f>'Orçamento final pintura asfalto'!B66</f>
        <v>PAVIMENTAÇÃO</v>
      </c>
      <c r="C33" s="133">
        <f>SUM(C34:C37)</f>
        <v>639350.02999999991</v>
      </c>
      <c r="D33" s="134">
        <f t="shared" si="25"/>
        <v>0.92225266842729614</v>
      </c>
      <c r="E33" s="135"/>
      <c r="F33" s="134"/>
      <c r="G33" s="136"/>
      <c r="H33" s="134"/>
      <c r="I33" s="136"/>
      <c r="J33" s="134"/>
      <c r="K33" s="177">
        <f t="shared" si="2"/>
        <v>0</v>
      </c>
      <c r="L33" s="134"/>
      <c r="M33" s="177">
        <f t="shared" si="3"/>
        <v>0</v>
      </c>
      <c r="N33" s="134"/>
      <c r="O33" s="177">
        <f t="shared" si="4"/>
        <v>0</v>
      </c>
      <c r="P33" s="134"/>
      <c r="Q33" s="177">
        <f t="shared" si="5"/>
        <v>0</v>
      </c>
      <c r="R33" s="134"/>
      <c r="S33" s="177">
        <f t="shared" si="6"/>
        <v>0</v>
      </c>
      <c r="T33" s="134"/>
      <c r="U33" s="177">
        <f t="shared" si="7"/>
        <v>0</v>
      </c>
      <c r="V33" s="134"/>
      <c r="W33" s="177">
        <f t="shared" si="8"/>
        <v>0</v>
      </c>
      <c r="X33" s="134"/>
      <c r="Y33" s="136"/>
      <c r="Z33" s="134"/>
      <c r="AA33" s="178">
        <f t="shared" si="9"/>
        <v>0</v>
      </c>
      <c r="AB33" s="179">
        <f t="shared" si="10"/>
        <v>0</v>
      </c>
      <c r="AC33" s="180">
        <f t="shared" si="11"/>
        <v>-639349.02999999991</v>
      </c>
    </row>
    <row r="34" spans="1:29" x14ac:dyDescent="0.2">
      <c r="A34" s="120" t="s">
        <v>152</v>
      </c>
      <c r="B34" s="175" t="str">
        <f>'Orçamento final pintura asfalto'!B67</f>
        <v>Recuperação de camadas abaixo do pavimentação existente</v>
      </c>
      <c r="C34" s="126">
        <f>'Orçamento final pintura asfalto'!G67</f>
        <v>19600</v>
      </c>
      <c r="D34" s="131">
        <f t="shared" si="25"/>
        <v>2.8272701107365253E-2</v>
      </c>
      <c r="E34" s="141">
        <f t="shared" ref="E34:E37" si="28">F34*C34</f>
        <v>0</v>
      </c>
      <c r="F34" s="26"/>
      <c r="G34" s="141"/>
      <c r="H34" s="26"/>
      <c r="I34" s="141"/>
      <c r="J34" s="26"/>
      <c r="K34" s="141">
        <f t="shared" si="2"/>
        <v>9800</v>
      </c>
      <c r="L34" s="26">
        <v>0.5</v>
      </c>
      <c r="M34" s="141">
        <f t="shared" si="3"/>
        <v>9800</v>
      </c>
      <c r="N34" s="26">
        <v>0.5</v>
      </c>
      <c r="O34" s="141">
        <f t="shared" si="4"/>
        <v>0</v>
      </c>
      <c r="P34" s="26"/>
      <c r="Q34" s="141">
        <f t="shared" si="5"/>
        <v>0</v>
      </c>
      <c r="R34" s="26"/>
      <c r="S34" s="141">
        <f t="shared" si="6"/>
        <v>0</v>
      </c>
      <c r="T34" s="26"/>
      <c r="U34" s="141">
        <f t="shared" si="7"/>
        <v>0</v>
      </c>
      <c r="V34" s="26"/>
      <c r="W34" s="141">
        <f t="shared" si="8"/>
        <v>0</v>
      </c>
      <c r="X34" s="26"/>
      <c r="Y34" s="27"/>
      <c r="Z34" s="26"/>
      <c r="AA34" s="122">
        <f t="shared" si="9"/>
        <v>19600</v>
      </c>
      <c r="AB34" s="176">
        <f t="shared" si="10"/>
        <v>1</v>
      </c>
      <c r="AC34" s="123">
        <f t="shared" si="11"/>
        <v>1</v>
      </c>
    </row>
    <row r="35" spans="1:29" x14ac:dyDescent="0.2">
      <c r="A35" s="120" t="s">
        <v>153</v>
      </c>
      <c r="B35" s="175" t="str">
        <f>'Orçamento final pintura asfalto'!B68</f>
        <v>Pintura de ligação RR - 2C</v>
      </c>
      <c r="C35" s="126">
        <f>'Orçamento final pintura asfalto'!G68</f>
        <v>15097.7</v>
      </c>
      <c r="D35" s="131">
        <f t="shared" si="25"/>
        <v>2.1778202015748385E-2</v>
      </c>
      <c r="E35" s="141">
        <f t="shared" si="28"/>
        <v>0</v>
      </c>
      <c r="F35" s="26"/>
      <c r="G35" s="141"/>
      <c r="H35" s="26"/>
      <c r="I35" s="141"/>
      <c r="J35" s="26"/>
      <c r="K35" s="141">
        <f t="shared" si="2"/>
        <v>7548.85</v>
      </c>
      <c r="L35" s="26">
        <v>0.5</v>
      </c>
      <c r="M35" s="141">
        <f t="shared" si="3"/>
        <v>7548.85</v>
      </c>
      <c r="N35" s="26">
        <v>0.5</v>
      </c>
      <c r="O35" s="141">
        <f t="shared" si="4"/>
        <v>0</v>
      </c>
      <c r="P35" s="26"/>
      <c r="Q35" s="141">
        <f t="shared" si="5"/>
        <v>0</v>
      </c>
      <c r="R35" s="26"/>
      <c r="S35" s="141">
        <f t="shared" si="6"/>
        <v>0</v>
      </c>
      <c r="T35" s="26"/>
      <c r="U35" s="141">
        <f t="shared" si="7"/>
        <v>0</v>
      </c>
      <c r="V35" s="26"/>
      <c r="W35" s="141">
        <f t="shared" si="8"/>
        <v>0</v>
      </c>
      <c r="X35" s="26"/>
      <c r="Y35" s="27"/>
      <c r="Z35" s="26"/>
      <c r="AA35" s="122">
        <f t="shared" si="9"/>
        <v>15097.7</v>
      </c>
      <c r="AB35" s="176">
        <f t="shared" si="10"/>
        <v>1</v>
      </c>
      <c r="AC35" s="123">
        <f t="shared" si="11"/>
        <v>1</v>
      </c>
    </row>
    <row r="36" spans="1:29" x14ac:dyDescent="0.2">
      <c r="A36" s="120" t="s">
        <v>154</v>
      </c>
      <c r="B36" s="175" t="str">
        <f>'Orçamento final pintura asfalto'!B69</f>
        <v>Camada de revestimento c/ C.B.U.Q., Faixa ''C'' , e = 7,5 cm "compactado"</v>
      </c>
      <c r="C36" s="126">
        <f>'Orçamento final pintura asfalto'!G69</f>
        <v>584099.39</v>
      </c>
      <c r="D36" s="131">
        <f t="shared" si="25"/>
        <v>0.84255446277879431</v>
      </c>
      <c r="E36" s="141">
        <f t="shared" si="28"/>
        <v>0</v>
      </c>
      <c r="F36" s="26"/>
      <c r="G36" s="141"/>
      <c r="H36" s="26"/>
      <c r="I36" s="141"/>
      <c r="J36" s="26"/>
      <c r="K36" s="141">
        <f>(L36*C36)</f>
        <v>292049.69500000001</v>
      </c>
      <c r="L36" s="26">
        <v>0.5</v>
      </c>
      <c r="M36" s="141">
        <f>(N36*C36)</f>
        <v>292049.69500000001</v>
      </c>
      <c r="N36" s="26">
        <v>0.5</v>
      </c>
      <c r="O36" s="141">
        <f t="shared" si="4"/>
        <v>0</v>
      </c>
      <c r="P36" s="26"/>
      <c r="Q36" s="141">
        <f t="shared" si="5"/>
        <v>0</v>
      </c>
      <c r="R36" s="26"/>
      <c r="S36" s="141">
        <f t="shared" si="6"/>
        <v>0</v>
      </c>
      <c r="T36" s="26"/>
      <c r="U36" s="141">
        <f t="shared" si="7"/>
        <v>0</v>
      </c>
      <c r="V36" s="26"/>
      <c r="W36" s="141">
        <f t="shared" si="8"/>
        <v>0</v>
      </c>
      <c r="X36" s="26"/>
      <c r="Y36" s="27"/>
      <c r="Z36" s="26"/>
      <c r="AA36" s="122">
        <f t="shared" si="9"/>
        <v>584099.39</v>
      </c>
      <c r="AB36" s="176">
        <f t="shared" si="10"/>
        <v>1</v>
      </c>
      <c r="AC36" s="123">
        <f t="shared" si="11"/>
        <v>1</v>
      </c>
    </row>
    <row r="37" spans="1:29" x14ac:dyDescent="0.2">
      <c r="A37" s="120" t="s">
        <v>155</v>
      </c>
      <c r="B37" s="175" t="str">
        <f>'Orçamento final pintura asfalto'!B70</f>
        <v>Transporte de C.B.U.Q</v>
      </c>
      <c r="C37" s="126">
        <f>'Orçamento final pintura asfalto'!G70</f>
        <v>20552.939999999999</v>
      </c>
      <c r="D37" s="131">
        <f t="shared" si="25"/>
        <v>2.9647302525388344E-2</v>
      </c>
      <c r="E37" s="141">
        <f t="shared" si="28"/>
        <v>0</v>
      </c>
      <c r="F37" s="26"/>
      <c r="G37" s="141"/>
      <c r="H37" s="26"/>
      <c r="I37" s="141"/>
      <c r="J37" s="26"/>
      <c r="K37" s="141">
        <f t="shared" si="2"/>
        <v>10276.469999999999</v>
      </c>
      <c r="L37" s="26">
        <v>0.5</v>
      </c>
      <c r="M37" s="141">
        <f t="shared" si="3"/>
        <v>10276.469999999999</v>
      </c>
      <c r="N37" s="26">
        <v>0.5</v>
      </c>
      <c r="O37" s="141">
        <f t="shared" si="4"/>
        <v>0</v>
      </c>
      <c r="P37" s="26"/>
      <c r="Q37" s="141">
        <f t="shared" si="5"/>
        <v>0</v>
      </c>
      <c r="R37" s="26"/>
      <c r="S37" s="141">
        <f t="shared" si="6"/>
        <v>0</v>
      </c>
      <c r="T37" s="26"/>
      <c r="U37" s="141">
        <f t="shared" si="7"/>
        <v>0</v>
      </c>
      <c r="V37" s="26"/>
      <c r="W37" s="141">
        <f t="shared" si="8"/>
        <v>0</v>
      </c>
      <c r="X37" s="26"/>
      <c r="Y37" s="27"/>
      <c r="Z37" s="26"/>
      <c r="AA37" s="122">
        <f t="shared" si="9"/>
        <v>20552.939999999999</v>
      </c>
      <c r="AB37" s="176">
        <f t="shared" si="10"/>
        <v>1</v>
      </c>
      <c r="AC37" s="123">
        <f t="shared" si="11"/>
        <v>1</v>
      </c>
    </row>
    <row r="38" spans="1:29" s="137" customFormat="1" x14ac:dyDescent="0.2">
      <c r="A38" s="132" t="s">
        <v>12</v>
      </c>
      <c r="B38" s="132" t="str">
        <f>'Orçamento final pintura asfalto'!B72</f>
        <v>SINALIZAÇÃO</v>
      </c>
      <c r="C38" s="133">
        <f>SUM(C39:C43)</f>
        <v>47738.600000000006</v>
      </c>
      <c r="D38" s="134">
        <f t="shared" si="25"/>
        <v>6.8862202504289136E-2</v>
      </c>
      <c r="E38" s="135"/>
      <c r="F38" s="134"/>
      <c r="G38" s="136"/>
      <c r="H38" s="134"/>
      <c r="I38" s="136"/>
      <c r="J38" s="134"/>
      <c r="K38" s="177">
        <f t="shared" si="2"/>
        <v>0</v>
      </c>
      <c r="L38" s="134"/>
      <c r="M38" s="177">
        <f t="shared" si="3"/>
        <v>0</v>
      </c>
      <c r="N38" s="134"/>
      <c r="O38" s="177">
        <f t="shared" si="4"/>
        <v>0</v>
      </c>
      <c r="P38" s="134"/>
      <c r="Q38" s="177">
        <f t="shared" si="5"/>
        <v>0</v>
      </c>
      <c r="R38" s="134"/>
      <c r="S38" s="177">
        <f t="shared" si="6"/>
        <v>0</v>
      </c>
      <c r="T38" s="134"/>
      <c r="U38" s="177">
        <f t="shared" si="7"/>
        <v>0</v>
      </c>
      <c r="V38" s="134"/>
      <c r="W38" s="177">
        <f t="shared" si="8"/>
        <v>0</v>
      </c>
      <c r="X38" s="134"/>
      <c r="Y38" s="136"/>
      <c r="Z38" s="134"/>
      <c r="AA38" s="178">
        <f t="shared" si="9"/>
        <v>0</v>
      </c>
      <c r="AB38" s="179">
        <f t="shared" si="10"/>
        <v>0</v>
      </c>
      <c r="AC38" s="180">
        <f t="shared" si="11"/>
        <v>-47737.600000000006</v>
      </c>
    </row>
    <row r="39" spans="1:29" x14ac:dyDescent="0.2">
      <c r="A39" s="120" t="s">
        <v>156</v>
      </c>
      <c r="B39" s="175" t="str">
        <f>'Orçamento final pintura asfalto'!B73</f>
        <v>Pintura a quente (eixo da via e faixas e setas)</v>
      </c>
      <c r="C39" s="126">
        <f>'Orçamento final pintura asfalto'!G73</f>
        <v>9228.6200000000008</v>
      </c>
      <c r="D39" s="131">
        <f t="shared" ref="D39" si="29">C39/$C$44</f>
        <v>1.3312143617012915E-2</v>
      </c>
      <c r="E39" s="141">
        <f t="shared" ref="E39" si="30">F39*C39</f>
        <v>0</v>
      </c>
      <c r="F39" s="26"/>
      <c r="G39" s="141"/>
      <c r="H39" s="26"/>
      <c r="I39" s="141"/>
      <c r="J39" s="26"/>
      <c r="K39" s="141">
        <f t="shared" si="2"/>
        <v>0</v>
      </c>
      <c r="L39" s="26"/>
      <c r="M39" s="141">
        <f t="shared" si="3"/>
        <v>9228.6200000000008</v>
      </c>
      <c r="N39" s="26">
        <v>1</v>
      </c>
      <c r="O39" s="141">
        <f t="shared" si="4"/>
        <v>0</v>
      </c>
      <c r="P39" s="26"/>
      <c r="Q39" s="141">
        <f t="shared" si="5"/>
        <v>0</v>
      </c>
      <c r="R39" s="26"/>
      <c r="S39" s="141">
        <f t="shared" si="6"/>
        <v>0</v>
      </c>
      <c r="T39" s="26"/>
      <c r="U39" s="141">
        <f t="shared" si="7"/>
        <v>0</v>
      </c>
      <c r="V39" s="26"/>
      <c r="W39" s="141">
        <f t="shared" si="8"/>
        <v>0</v>
      </c>
      <c r="X39" s="26"/>
      <c r="Y39" s="27"/>
      <c r="Z39" s="26"/>
      <c r="AA39" s="122">
        <f t="shared" si="9"/>
        <v>9228.6200000000008</v>
      </c>
      <c r="AB39" s="176">
        <f t="shared" si="10"/>
        <v>1</v>
      </c>
      <c r="AC39" s="123">
        <f t="shared" si="11"/>
        <v>1</v>
      </c>
    </row>
    <row r="40" spans="1:29" x14ac:dyDescent="0.2">
      <c r="A40" s="120" t="s">
        <v>157</v>
      </c>
      <c r="B40" s="175" t="str">
        <f>'Orçamento final pintura asfalto'!B74</f>
        <v>Pintura a frio (vagas de estacionamento)</v>
      </c>
      <c r="C40" s="126">
        <f>'Orçamento final pintura asfalto'!G74</f>
        <v>16225.04</v>
      </c>
      <c r="D40" s="131">
        <f>C40/$C$44</f>
        <v>2.3404372774237018E-2</v>
      </c>
      <c r="E40" s="141">
        <f>F40*C40</f>
        <v>0</v>
      </c>
      <c r="F40" s="26"/>
      <c r="G40" s="141"/>
      <c r="H40" s="26"/>
      <c r="I40" s="141"/>
      <c r="J40" s="26"/>
      <c r="K40" s="141">
        <f t="shared" ref="K40:K43" si="31">L40*C40</f>
        <v>0</v>
      </c>
      <c r="L40" s="26"/>
      <c r="M40" s="141">
        <f t="shared" si="3"/>
        <v>16225.04</v>
      </c>
      <c r="N40" s="26">
        <v>1</v>
      </c>
      <c r="O40" s="141">
        <f t="shared" si="4"/>
        <v>0</v>
      </c>
      <c r="P40" s="26"/>
      <c r="Q40" s="141">
        <f t="shared" si="5"/>
        <v>0</v>
      </c>
      <c r="R40" s="26"/>
      <c r="S40" s="141">
        <f t="shared" si="6"/>
        <v>0</v>
      </c>
      <c r="T40" s="26"/>
      <c r="U40" s="141">
        <f t="shared" si="7"/>
        <v>0</v>
      </c>
      <c r="V40" s="26"/>
      <c r="W40" s="141">
        <f t="shared" si="8"/>
        <v>0</v>
      </c>
      <c r="X40" s="26"/>
      <c r="Y40" s="27"/>
      <c r="Z40" s="26"/>
      <c r="AA40" s="122">
        <f t="shared" si="9"/>
        <v>16225.04</v>
      </c>
      <c r="AB40" s="176">
        <f t="shared" si="10"/>
        <v>1</v>
      </c>
      <c r="AC40" s="123">
        <f t="shared" si="11"/>
        <v>1</v>
      </c>
    </row>
    <row r="41" spans="1:29" x14ac:dyDescent="0.2">
      <c r="A41" s="120" t="s">
        <v>158</v>
      </c>
      <c r="B41" s="175" t="str">
        <f>'Orçamento final pintura asfalto'!B75</f>
        <v>Tachão bidirecional</v>
      </c>
      <c r="C41" s="126">
        <f>'Orçamento final pintura asfalto'!G75</f>
        <v>9280.0499999999993</v>
      </c>
      <c r="D41" s="131">
        <f>C41/$C$44</f>
        <v>1.3386330607724739E-2</v>
      </c>
      <c r="E41" s="141">
        <f t="shared" ref="E41" si="32">F41*C41</f>
        <v>0</v>
      </c>
      <c r="F41" s="26"/>
      <c r="G41" s="141"/>
      <c r="H41" s="26"/>
      <c r="I41" s="141"/>
      <c r="J41" s="26"/>
      <c r="K41" s="141">
        <f t="shared" ref="K41" si="33">L41*C41</f>
        <v>0</v>
      </c>
      <c r="L41" s="26"/>
      <c r="M41" s="141">
        <f t="shared" si="3"/>
        <v>9280.0499999999993</v>
      </c>
      <c r="N41" s="26">
        <v>1</v>
      </c>
      <c r="O41" s="141">
        <f t="shared" si="4"/>
        <v>0</v>
      </c>
      <c r="P41" s="26"/>
      <c r="Q41" s="141">
        <f t="shared" si="5"/>
        <v>0</v>
      </c>
      <c r="R41" s="26"/>
      <c r="S41" s="141">
        <f t="shared" si="6"/>
        <v>0</v>
      </c>
      <c r="T41" s="26"/>
      <c r="U41" s="141">
        <f t="shared" si="7"/>
        <v>0</v>
      </c>
      <c r="V41" s="26"/>
      <c r="W41" s="141">
        <f t="shared" si="8"/>
        <v>0</v>
      </c>
      <c r="X41" s="26"/>
      <c r="Y41" s="27"/>
      <c r="Z41" s="26"/>
      <c r="AA41" s="122">
        <f t="shared" si="9"/>
        <v>9280.0499999999993</v>
      </c>
      <c r="AB41" s="176">
        <f t="shared" si="10"/>
        <v>1</v>
      </c>
      <c r="AC41" s="123">
        <f t="shared" si="11"/>
        <v>1</v>
      </c>
    </row>
    <row r="42" spans="1:29" x14ac:dyDescent="0.2">
      <c r="A42" s="120" t="s">
        <v>224</v>
      </c>
      <c r="B42" s="175" t="str">
        <f>'Orçamento final pintura asfalto'!B76</f>
        <v>Tacha bidirecional</v>
      </c>
      <c r="C42" s="126">
        <f>'Orçamento final pintura asfalto'!G76</f>
        <v>2888.76</v>
      </c>
      <c r="D42" s="131">
        <f t="shared" ref="D42:D43" si="34">C42/$C$44</f>
        <v>4.1669922474955332E-3</v>
      </c>
      <c r="E42" s="141">
        <f t="shared" ref="E42:E43" si="35">F42*C42</f>
        <v>0</v>
      </c>
      <c r="F42" s="26"/>
      <c r="G42" s="141"/>
      <c r="H42" s="26"/>
      <c r="I42" s="141"/>
      <c r="J42" s="26"/>
      <c r="K42" s="141">
        <f t="shared" si="31"/>
        <v>0</v>
      </c>
      <c r="L42" s="26"/>
      <c r="M42" s="141">
        <f t="shared" si="3"/>
        <v>2888.76</v>
      </c>
      <c r="N42" s="26">
        <v>1</v>
      </c>
      <c r="O42" s="141">
        <f t="shared" si="4"/>
        <v>0</v>
      </c>
      <c r="P42" s="26"/>
      <c r="Q42" s="141">
        <f t="shared" si="5"/>
        <v>0</v>
      </c>
      <c r="R42" s="26"/>
      <c r="S42" s="141">
        <f t="shared" si="6"/>
        <v>0</v>
      </c>
      <c r="T42" s="26"/>
      <c r="U42" s="141">
        <f t="shared" si="7"/>
        <v>0</v>
      </c>
      <c r="V42" s="26"/>
      <c r="W42" s="141">
        <f t="shared" si="8"/>
        <v>0</v>
      </c>
      <c r="X42" s="26"/>
      <c r="Y42" s="27"/>
      <c r="Z42" s="26"/>
      <c r="AA42" s="122">
        <f t="shared" si="9"/>
        <v>2888.76</v>
      </c>
      <c r="AB42" s="176">
        <f t="shared" si="10"/>
        <v>1</v>
      </c>
      <c r="AC42" s="123">
        <f t="shared" si="11"/>
        <v>1</v>
      </c>
    </row>
    <row r="43" spans="1:29" x14ac:dyDescent="0.2">
      <c r="A43" s="120" t="s">
        <v>225</v>
      </c>
      <c r="B43" s="175" t="str">
        <f>'Orçamento final pintura asfalto'!B77</f>
        <v>Segregador</v>
      </c>
      <c r="C43" s="126">
        <f>'Orçamento final pintura asfalto'!G77</f>
        <v>10116.129999999999</v>
      </c>
      <c r="D43" s="131">
        <f t="shared" si="34"/>
        <v>1.459236325781892E-2</v>
      </c>
      <c r="E43" s="141">
        <f t="shared" si="35"/>
        <v>0</v>
      </c>
      <c r="F43" s="26"/>
      <c r="G43" s="141"/>
      <c r="H43" s="26"/>
      <c r="I43" s="141"/>
      <c r="J43" s="26"/>
      <c r="K43" s="141">
        <f t="shared" si="31"/>
        <v>0</v>
      </c>
      <c r="L43" s="26"/>
      <c r="M43" s="141">
        <f t="shared" si="3"/>
        <v>10116.129999999999</v>
      </c>
      <c r="N43" s="26">
        <v>1</v>
      </c>
      <c r="O43" s="141">
        <f t="shared" si="4"/>
        <v>0</v>
      </c>
      <c r="P43" s="26"/>
      <c r="Q43" s="141">
        <f t="shared" si="5"/>
        <v>0</v>
      </c>
      <c r="R43" s="26"/>
      <c r="S43" s="141">
        <f t="shared" si="6"/>
        <v>0</v>
      </c>
      <c r="T43" s="26"/>
      <c r="U43" s="141">
        <f t="shared" si="7"/>
        <v>0</v>
      </c>
      <c r="V43" s="26"/>
      <c r="W43" s="141">
        <f t="shared" si="8"/>
        <v>0</v>
      </c>
      <c r="X43" s="26"/>
      <c r="Y43" s="27"/>
      <c r="Z43" s="26"/>
      <c r="AA43" s="122">
        <f t="shared" si="9"/>
        <v>10116.129999999999</v>
      </c>
      <c r="AB43" s="176">
        <f t="shared" si="10"/>
        <v>1</v>
      </c>
      <c r="AC43" s="123">
        <f t="shared" si="11"/>
        <v>1</v>
      </c>
    </row>
    <row r="44" spans="1:29" s="6" customFormat="1" x14ac:dyDescent="0.2">
      <c r="A44" s="28"/>
      <c r="B44" s="28" t="s">
        <v>37</v>
      </c>
      <c r="C44" s="129">
        <f>C38+C33+C31+C27</f>
        <v>693248.23</v>
      </c>
      <c r="D44" s="29">
        <f>C44/C108</f>
        <v>0.16030481463125953</v>
      </c>
      <c r="E44" s="121"/>
      <c r="F44" s="28"/>
      <c r="G44" s="30"/>
      <c r="H44" s="29"/>
      <c r="I44" s="30"/>
      <c r="J44" s="29"/>
      <c r="K44" s="141"/>
      <c r="L44" s="28"/>
      <c r="M44" s="141">
        <f t="shared" si="3"/>
        <v>0</v>
      </c>
      <c r="N44" s="29"/>
      <c r="O44" s="141">
        <f t="shared" si="4"/>
        <v>0</v>
      </c>
      <c r="P44" s="29"/>
      <c r="Q44" s="141">
        <f t="shared" si="5"/>
        <v>0</v>
      </c>
      <c r="R44" s="28"/>
      <c r="S44" s="141">
        <f t="shared" si="6"/>
        <v>0</v>
      </c>
      <c r="T44" s="29"/>
      <c r="U44" s="141">
        <f t="shared" si="7"/>
        <v>0</v>
      </c>
      <c r="V44" s="29"/>
      <c r="W44" s="141">
        <f t="shared" si="8"/>
        <v>0</v>
      </c>
      <c r="X44" s="29"/>
      <c r="Y44" s="30"/>
      <c r="Z44" s="29"/>
      <c r="AA44" s="122">
        <f t="shared" si="9"/>
        <v>0</v>
      </c>
      <c r="AB44" s="176">
        <f t="shared" si="10"/>
        <v>0</v>
      </c>
      <c r="AC44" s="123">
        <f t="shared" si="11"/>
        <v>-693247.23</v>
      </c>
    </row>
    <row r="45" spans="1:29" s="137" customFormat="1" x14ac:dyDescent="0.2">
      <c r="A45" s="132"/>
      <c r="B45" s="132" t="str">
        <f>'Orçamento final pintura asfalto'!B81</f>
        <v>RUA BELÉM (TRECHO ENTRE RUA CAMPINAS E RUA SÃO PAULO) - TIMBÓ - SC</v>
      </c>
      <c r="C45" s="133"/>
      <c r="D45" s="134"/>
      <c r="E45" s="135"/>
      <c r="F45" s="134"/>
      <c r="G45" s="136"/>
      <c r="H45" s="134"/>
      <c r="I45" s="136"/>
      <c r="J45" s="134"/>
      <c r="K45" s="135"/>
      <c r="L45" s="134"/>
      <c r="M45" s="177">
        <f t="shared" si="3"/>
        <v>0</v>
      </c>
      <c r="N45" s="134"/>
      <c r="O45" s="177">
        <f t="shared" si="4"/>
        <v>0</v>
      </c>
      <c r="P45" s="134"/>
      <c r="Q45" s="177">
        <f t="shared" si="5"/>
        <v>0</v>
      </c>
      <c r="R45" s="134"/>
      <c r="S45" s="177">
        <f t="shared" si="6"/>
        <v>0</v>
      </c>
      <c r="T45" s="134"/>
      <c r="U45" s="177">
        <f t="shared" si="7"/>
        <v>0</v>
      </c>
      <c r="V45" s="134"/>
      <c r="W45" s="177">
        <f t="shared" si="8"/>
        <v>0</v>
      </c>
      <c r="X45" s="134"/>
      <c r="Y45" s="136"/>
      <c r="Z45" s="134"/>
      <c r="AA45" s="178">
        <f t="shared" si="9"/>
        <v>0</v>
      </c>
      <c r="AB45" s="179">
        <f t="shared" si="10"/>
        <v>0</v>
      </c>
      <c r="AC45" s="180">
        <f t="shared" si="11"/>
        <v>1</v>
      </c>
    </row>
    <row r="46" spans="1:29" s="137" customFormat="1" x14ac:dyDescent="0.2">
      <c r="A46" s="132" t="s">
        <v>97</v>
      </c>
      <c r="B46" s="132" t="str">
        <f>'Orçamento final pintura asfalto'!B84</f>
        <v>SERVIÇOS INICIAIS</v>
      </c>
      <c r="C46" s="133">
        <f>SUM(C47:C49)</f>
        <v>3162.46</v>
      </c>
      <c r="D46" s="134">
        <f t="shared" ref="D46:D63" si="36">C46/$C$64</f>
        <v>6.4223344832283662E-3</v>
      </c>
      <c r="E46" s="135">
        <f>F46*C46</f>
        <v>0</v>
      </c>
      <c r="F46" s="134"/>
      <c r="G46" s="136">
        <f>H46*C46</f>
        <v>0</v>
      </c>
      <c r="H46" s="134"/>
      <c r="I46" s="136">
        <f>J46*C46</f>
        <v>0</v>
      </c>
      <c r="J46" s="134"/>
      <c r="K46" s="135">
        <f>L46*I46</f>
        <v>0</v>
      </c>
      <c r="L46" s="134"/>
      <c r="M46" s="177">
        <f t="shared" si="3"/>
        <v>0</v>
      </c>
      <c r="N46" s="134"/>
      <c r="O46" s="177">
        <f t="shared" si="4"/>
        <v>0</v>
      </c>
      <c r="P46" s="134"/>
      <c r="Q46" s="177">
        <f t="shared" si="5"/>
        <v>0</v>
      </c>
      <c r="R46" s="134"/>
      <c r="S46" s="177">
        <f t="shared" si="6"/>
        <v>0</v>
      </c>
      <c r="T46" s="134"/>
      <c r="U46" s="177">
        <f t="shared" si="7"/>
        <v>0</v>
      </c>
      <c r="V46" s="134"/>
      <c r="W46" s="177">
        <f t="shared" si="8"/>
        <v>0</v>
      </c>
      <c r="X46" s="134"/>
      <c r="Y46" s="136">
        <f>Z46*S46</f>
        <v>0</v>
      </c>
      <c r="Z46" s="134"/>
      <c r="AA46" s="178">
        <f t="shared" si="9"/>
        <v>0</v>
      </c>
      <c r="AB46" s="179">
        <f t="shared" si="10"/>
        <v>0</v>
      </c>
      <c r="AC46" s="180">
        <f t="shared" si="11"/>
        <v>-3161.46</v>
      </c>
    </row>
    <row r="47" spans="1:29" x14ac:dyDescent="0.2">
      <c r="A47" s="120" t="s">
        <v>159</v>
      </c>
      <c r="B47" s="27" t="str">
        <f>'Orçamento final pintura asfalto'!B85</f>
        <v>Placa de Obra, conforme padrão da Caixa (tamanho mínimo 2,00mx1,25m)</v>
      </c>
      <c r="C47" s="126">
        <f>'Orçamento final pintura asfalto'!G85</f>
        <v>923.05</v>
      </c>
      <c r="D47" s="131">
        <f t="shared" si="36"/>
        <v>1.8745330675309548E-3</v>
      </c>
      <c r="E47" s="141">
        <f t="shared" ref="E47:E49" si="37">F47*C47</f>
        <v>0</v>
      </c>
      <c r="F47" s="26"/>
      <c r="G47" s="141"/>
      <c r="H47" s="26"/>
      <c r="I47" s="27"/>
      <c r="J47" s="26"/>
      <c r="K47" s="141"/>
      <c r="L47" s="26"/>
      <c r="M47" s="141">
        <f t="shared" si="3"/>
        <v>0</v>
      </c>
      <c r="N47" s="26"/>
      <c r="O47" s="141">
        <f t="shared" si="4"/>
        <v>923.05</v>
      </c>
      <c r="P47" s="26">
        <v>1</v>
      </c>
      <c r="Q47" s="141">
        <f t="shared" si="5"/>
        <v>0</v>
      </c>
      <c r="R47" s="26"/>
      <c r="S47" s="141">
        <f t="shared" si="6"/>
        <v>0</v>
      </c>
      <c r="T47" s="26"/>
      <c r="U47" s="141">
        <f t="shared" si="7"/>
        <v>0</v>
      </c>
      <c r="V47" s="26"/>
      <c r="W47" s="141">
        <f t="shared" si="8"/>
        <v>0</v>
      </c>
      <c r="X47" s="26"/>
      <c r="Y47" s="27"/>
      <c r="Z47" s="26"/>
      <c r="AA47" s="122">
        <f t="shared" si="9"/>
        <v>923.05</v>
      </c>
      <c r="AB47" s="176">
        <f t="shared" si="10"/>
        <v>1</v>
      </c>
      <c r="AC47" s="123">
        <f t="shared" si="11"/>
        <v>1</v>
      </c>
    </row>
    <row r="48" spans="1:29" x14ac:dyDescent="0.2">
      <c r="A48" s="120" t="s">
        <v>160</v>
      </c>
      <c r="B48" s="27" t="str">
        <f>'Orçamento final pintura asfalto'!B86</f>
        <v>Locação da obra com uso de equipamentos topográficos, inclusive topógrafo e nivelador</v>
      </c>
      <c r="C48" s="126">
        <f>'Orçamento final pintura asfalto'!G86</f>
        <v>2035.72</v>
      </c>
      <c r="D48" s="131">
        <f t="shared" si="36"/>
        <v>4.1341470735432699E-3</v>
      </c>
      <c r="E48" s="141">
        <f t="shared" si="37"/>
        <v>0</v>
      </c>
      <c r="F48" s="26"/>
      <c r="G48" s="141"/>
      <c r="H48" s="26"/>
      <c r="I48" s="27"/>
      <c r="J48" s="26"/>
      <c r="K48" s="141"/>
      <c r="L48" s="26"/>
      <c r="M48" s="141">
        <f t="shared" si="3"/>
        <v>0</v>
      </c>
      <c r="N48" s="26"/>
      <c r="O48" s="141">
        <f t="shared" si="4"/>
        <v>2035.72</v>
      </c>
      <c r="P48" s="26">
        <v>1</v>
      </c>
      <c r="Q48" s="141">
        <f t="shared" si="5"/>
        <v>0</v>
      </c>
      <c r="R48" s="26"/>
      <c r="S48" s="141">
        <f t="shared" si="6"/>
        <v>0</v>
      </c>
      <c r="T48" s="26"/>
      <c r="U48" s="141">
        <f t="shared" si="7"/>
        <v>0</v>
      </c>
      <c r="V48" s="26"/>
      <c r="W48" s="141">
        <f t="shared" si="8"/>
        <v>0</v>
      </c>
      <c r="X48" s="26"/>
      <c r="Y48" s="27"/>
      <c r="Z48" s="26"/>
      <c r="AA48" s="122">
        <f t="shared" si="9"/>
        <v>2035.72</v>
      </c>
      <c r="AB48" s="176">
        <f t="shared" si="10"/>
        <v>1</v>
      </c>
      <c r="AC48" s="123">
        <f t="shared" si="11"/>
        <v>1</v>
      </c>
    </row>
    <row r="49" spans="1:29" x14ac:dyDescent="0.2">
      <c r="A49" s="120" t="s">
        <v>161</v>
      </c>
      <c r="B49" s="27" t="str">
        <f>'Orçamento final pintura asfalto'!B87</f>
        <v>Caminhão pipa 10.000 l trucado, peso bruto total 23.000 kg, carga útil máxima 15.935 kg, distância entre eixos 4,8 m, potência 230 cv, inclusive tanque de aço para transporte de água (lavar paralelipípedo)</v>
      </c>
      <c r="C49" s="126">
        <f>'Orçamento final pintura asfalto'!G87</f>
        <v>203.69</v>
      </c>
      <c r="D49" s="131">
        <f t="shared" si="36"/>
        <v>4.1365434215414134E-4</v>
      </c>
      <c r="E49" s="141">
        <f t="shared" si="37"/>
        <v>0</v>
      </c>
      <c r="F49" s="26"/>
      <c r="G49" s="141"/>
      <c r="H49" s="26"/>
      <c r="I49" s="27"/>
      <c r="J49" s="26"/>
      <c r="K49" s="141"/>
      <c r="L49" s="26"/>
      <c r="M49" s="141">
        <f t="shared" si="3"/>
        <v>0</v>
      </c>
      <c r="N49" s="26"/>
      <c r="O49" s="141">
        <f t="shared" si="4"/>
        <v>203.69</v>
      </c>
      <c r="P49" s="26">
        <v>1</v>
      </c>
      <c r="Q49" s="141">
        <f t="shared" si="5"/>
        <v>0</v>
      </c>
      <c r="R49" s="26"/>
      <c r="S49" s="141">
        <f t="shared" si="6"/>
        <v>0</v>
      </c>
      <c r="T49" s="26"/>
      <c r="U49" s="141">
        <f t="shared" si="7"/>
        <v>0</v>
      </c>
      <c r="V49" s="26"/>
      <c r="W49" s="141">
        <f t="shared" si="8"/>
        <v>0</v>
      </c>
      <c r="X49" s="26"/>
      <c r="Y49" s="27"/>
      <c r="Z49" s="26"/>
      <c r="AA49" s="122">
        <f t="shared" si="9"/>
        <v>203.69</v>
      </c>
      <c r="AB49" s="176">
        <f t="shared" si="10"/>
        <v>1</v>
      </c>
      <c r="AC49" s="123">
        <f t="shared" si="11"/>
        <v>1</v>
      </c>
    </row>
    <row r="50" spans="1:29" s="137" customFormat="1" x14ac:dyDescent="0.2">
      <c r="A50" s="132" t="s">
        <v>98</v>
      </c>
      <c r="B50" s="132" t="str">
        <f>'Orçamento final pintura asfalto'!B89</f>
        <v>DRENAGEM</v>
      </c>
      <c r="C50" s="133">
        <f>C51</f>
        <v>674.25</v>
      </c>
      <c r="D50" s="134">
        <f t="shared" si="36"/>
        <v>1.369269184532524E-3</v>
      </c>
      <c r="E50" s="135"/>
      <c r="F50" s="134"/>
      <c r="G50" s="136"/>
      <c r="H50" s="134"/>
      <c r="I50" s="136"/>
      <c r="J50" s="134"/>
      <c r="K50" s="135"/>
      <c r="L50" s="134"/>
      <c r="M50" s="177">
        <f t="shared" si="3"/>
        <v>0</v>
      </c>
      <c r="N50" s="134"/>
      <c r="O50" s="177">
        <f t="shared" si="4"/>
        <v>0</v>
      </c>
      <c r="P50" s="134"/>
      <c r="Q50" s="177">
        <f t="shared" si="5"/>
        <v>0</v>
      </c>
      <c r="R50" s="134"/>
      <c r="S50" s="177">
        <f t="shared" si="6"/>
        <v>0</v>
      </c>
      <c r="T50" s="134"/>
      <c r="U50" s="177">
        <f t="shared" si="7"/>
        <v>0</v>
      </c>
      <c r="V50" s="134"/>
      <c r="W50" s="177">
        <f t="shared" si="8"/>
        <v>0</v>
      </c>
      <c r="X50" s="134"/>
      <c r="Y50" s="136"/>
      <c r="Z50" s="134"/>
      <c r="AA50" s="178">
        <f t="shared" si="9"/>
        <v>0</v>
      </c>
      <c r="AB50" s="179">
        <f t="shared" si="10"/>
        <v>0</v>
      </c>
      <c r="AC50" s="180">
        <f t="shared" si="11"/>
        <v>-673.25</v>
      </c>
    </row>
    <row r="51" spans="1:29" s="143" customFormat="1" x14ac:dyDescent="0.2">
      <c r="A51" s="138" t="s">
        <v>162</v>
      </c>
      <c r="B51" s="138" t="str">
        <f>'Orçamento final pintura asfalto'!B90</f>
        <v>Alteamento das caixas de captação existente</v>
      </c>
      <c r="C51" s="139">
        <f>'Orçamento final pintura asfalto'!G90</f>
        <v>674.25</v>
      </c>
      <c r="D51" s="131">
        <f t="shared" si="36"/>
        <v>1.369269184532524E-3</v>
      </c>
      <c r="E51" s="141">
        <f t="shared" ref="E51" si="38">F51*C51</f>
        <v>0</v>
      </c>
      <c r="F51" s="140"/>
      <c r="G51" s="141"/>
      <c r="H51" s="140"/>
      <c r="I51" s="141"/>
      <c r="J51" s="140"/>
      <c r="K51" s="141"/>
      <c r="L51" s="140"/>
      <c r="M51" s="141">
        <f t="shared" si="3"/>
        <v>0</v>
      </c>
      <c r="N51" s="140"/>
      <c r="O51" s="141">
        <f t="shared" si="4"/>
        <v>674.25</v>
      </c>
      <c r="P51" s="140">
        <v>1</v>
      </c>
      <c r="Q51" s="141">
        <f t="shared" si="5"/>
        <v>0</v>
      </c>
      <c r="R51" s="140"/>
      <c r="S51" s="141">
        <f t="shared" si="6"/>
        <v>0</v>
      </c>
      <c r="T51" s="140"/>
      <c r="U51" s="141">
        <f t="shared" si="7"/>
        <v>0</v>
      </c>
      <c r="V51" s="140"/>
      <c r="W51" s="141">
        <f t="shared" si="8"/>
        <v>0</v>
      </c>
      <c r="X51" s="140"/>
      <c r="Y51" s="142"/>
      <c r="Z51" s="140"/>
      <c r="AA51" s="122">
        <f t="shared" si="9"/>
        <v>674.25</v>
      </c>
      <c r="AB51" s="176">
        <f t="shared" si="10"/>
        <v>1</v>
      </c>
      <c r="AC51" s="123">
        <f t="shared" si="11"/>
        <v>1</v>
      </c>
    </row>
    <row r="52" spans="1:29" s="137" customFormat="1" x14ac:dyDescent="0.2">
      <c r="A52" s="132" t="s">
        <v>107</v>
      </c>
      <c r="B52" s="132" t="str">
        <f>'Orçamento final pintura asfalto'!B92</f>
        <v>PAVIMENTAÇÃO</v>
      </c>
      <c r="C52" s="133">
        <f>SUM(C53:C56)</f>
        <v>456704.43</v>
      </c>
      <c r="D52" s="134">
        <f t="shared" si="36"/>
        <v>0.92747690387614568</v>
      </c>
      <c r="E52" s="135"/>
      <c r="F52" s="134"/>
      <c r="G52" s="136"/>
      <c r="H52" s="134"/>
      <c r="I52" s="136"/>
      <c r="J52" s="134"/>
      <c r="K52" s="135"/>
      <c r="L52" s="134"/>
      <c r="M52" s="177">
        <f t="shared" si="3"/>
        <v>0</v>
      </c>
      <c r="N52" s="134"/>
      <c r="O52" s="177">
        <f t="shared" si="4"/>
        <v>0</v>
      </c>
      <c r="P52" s="134"/>
      <c r="Q52" s="177">
        <f t="shared" si="5"/>
        <v>0</v>
      </c>
      <c r="R52" s="134"/>
      <c r="S52" s="177">
        <f t="shared" si="6"/>
        <v>0</v>
      </c>
      <c r="T52" s="134"/>
      <c r="U52" s="177">
        <f t="shared" si="7"/>
        <v>0</v>
      </c>
      <c r="V52" s="134"/>
      <c r="W52" s="177">
        <f t="shared" si="8"/>
        <v>0</v>
      </c>
      <c r="X52" s="134"/>
      <c r="Y52" s="136"/>
      <c r="Z52" s="134"/>
      <c r="AA52" s="178">
        <f t="shared" si="9"/>
        <v>0</v>
      </c>
      <c r="AB52" s="179">
        <f t="shared" si="10"/>
        <v>0</v>
      </c>
      <c r="AC52" s="180">
        <f t="shared" si="11"/>
        <v>-456703.43</v>
      </c>
    </row>
    <row r="53" spans="1:29" x14ac:dyDescent="0.2">
      <c r="A53" s="120" t="s">
        <v>163</v>
      </c>
      <c r="B53" s="25" t="str">
        <f>'Orçamento final pintura asfalto'!B93</f>
        <v>Recuperação de camadas abaixo do pavimentação existente</v>
      </c>
      <c r="C53" s="126">
        <f>'Orçamento final pintura asfalto'!G93</f>
        <v>8486.02</v>
      </c>
      <c r="D53" s="131">
        <f t="shared" si="36"/>
        <v>1.7233438168819712E-2</v>
      </c>
      <c r="E53" s="141">
        <f t="shared" ref="E53:E56" si="39">F53*C53</f>
        <v>0</v>
      </c>
      <c r="F53" s="26"/>
      <c r="G53" s="141"/>
      <c r="H53" s="26"/>
      <c r="I53" s="141"/>
      <c r="J53" s="26"/>
      <c r="K53" s="141"/>
      <c r="L53" s="26"/>
      <c r="M53" s="141">
        <f t="shared" si="3"/>
        <v>0</v>
      </c>
      <c r="N53" s="26"/>
      <c r="O53" s="141">
        <f t="shared" si="4"/>
        <v>8486.02</v>
      </c>
      <c r="P53" s="26">
        <v>1</v>
      </c>
      <c r="Q53" s="141">
        <f t="shared" si="5"/>
        <v>0</v>
      </c>
      <c r="R53" s="26"/>
      <c r="S53" s="141">
        <f t="shared" si="6"/>
        <v>0</v>
      </c>
      <c r="T53" s="26"/>
      <c r="U53" s="141">
        <f t="shared" si="7"/>
        <v>0</v>
      </c>
      <c r="V53" s="26"/>
      <c r="W53" s="141">
        <f t="shared" si="8"/>
        <v>0</v>
      </c>
      <c r="X53" s="26"/>
      <c r="Y53" s="27"/>
      <c r="Z53" s="26"/>
      <c r="AA53" s="122">
        <f t="shared" si="9"/>
        <v>8486.02</v>
      </c>
      <c r="AB53" s="176">
        <f t="shared" si="10"/>
        <v>1</v>
      </c>
      <c r="AC53" s="123">
        <f t="shared" si="11"/>
        <v>1</v>
      </c>
    </row>
    <row r="54" spans="1:29" x14ac:dyDescent="0.2">
      <c r="A54" s="120" t="s">
        <v>164</v>
      </c>
      <c r="B54" s="25" t="str">
        <f>'Orçamento final pintura asfalto'!B94</f>
        <v>Pintura de ligação RR - 2C</v>
      </c>
      <c r="C54" s="126">
        <f>'Orçamento final pintura asfalto'!G94</f>
        <v>15789.21</v>
      </c>
      <c r="D54" s="131">
        <f t="shared" si="36"/>
        <v>3.2064781165906969E-2</v>
      </c>
      <c r="E54" s="141">
        <f t="shared" si="39"/>
        <v>0</v>
      </c>
      <c r="F54" s="26"/>
      <c r="G54" s="141"/>
      <c r="H54" s="26"/>
      <c r="I54" s="141"/>
      <c r="J54" s="26"/>
      <c r="K54" s="141"/>
      <c r="L54" s="26"/>
      <c r="M54" s="141">
        <f t="shared" si="3"/>
        <v>0</v>
      </c>
      <c r="N54" s="26"/>
      <c r="O54" s="141">
        <f t="shared" si="4"/>
        <v>15789.21</v>
      </c>
      <c r="P54" s="26">
        <v>1</v>
      </c>
      <c r="Q54" s="141">
        <f t="shared" si="5"/>
        <v>0</v>
      </c>
      <c r="R54" s="26"/>
      <c r="S54" s="141">
        <f t="shared" si="6"/>
        <v>0</v>
      </c>
      <c r="T54" s="26"/>
      <c r="U54" s="141">
        <f t="shared" si="7"/>
        <v>0</v>
      </c>
      <c r="V54" s="26"/>
      <c r="W54" s="141">
        <f t="shared" si="8"/>
        <v>0</v>
      </c>
      <c r="X54" s="26"/>
      <c r="Y54" s="27"/>
      <c r="Z54" s="26"/>
      <c r="AA54" s="122">
        <f t="shared" si="9"/>
        <v>15789.21</v>
      </c>
      <c r="AB54" s="176">
        <f t="shared" si="10"/>
        <v>1</v>
      </c>
      <c r="AC54" s="123">
        <f t="shared" si="11"/>
        <v>1</v>
      </c>
    </row>
    <row r="55" spans="1:29" x14ac:dyDescent="0.2">
      <c r="A55" s="120" t="s">
        <v>165</v>
      </c>
      <c r="B55" s="25" t="str">
        <f>'Orçamento final pintura asfalto'!B95</f>
        <v>Camada de revestimento c/ C.B.U.Q., Faixa ''C'' , e = 5 cm "compactado"</v>
      </c>
      <c r="C55" s="126">
        <f>'Orçamento final pintura asfalto'!G95</f>
        <v>418099.63</v>
      </c>
      <c r="D55" s="131">
        <f t="shared" si="36"/>
        <v>0.84907814523314795</v>
      </c>
      <c r="E55" s="141">
        <f t="shared" si="39"/>
        <v>0</v>
      </c>
      <c r="F55" s="26"/>
      <c r="G55" s="141"/>
      <c r="H55" s="26"/>
      <c r="I55" s="141"/>
      <c r="J55" s="26"/>
      <c r="K55" s="141"/>
      <c r="L55" s="26"/>
      <c r="M55" s="141">
        <f t="shared" ref="M55:M90" si="40">ROUND((N55*C55),2)</f>
        <v>0</v>
      </c>
      <c r="N55" s="26"/>
      <c r="O55" s="141">
        <f t="shared" ref="O55:O72" si="41">ROUND((P55*C55),2)</f>
        <v>418099.63</v>
      </c>
      <c r="P55" s="26">
        <v>1</v>
      </c>
      <c r="Q55" s="141">
        <f t="shared" ref="Q55:Q92" si="42">ROUND((R55*C55),2)</f>
        <v>0</v>
      </c>
      <c r="R55" s="26"/>
      <c r="S55" s="141">
        <f t="shared" ref="S55:S83" si="43">ROUND((T55*C55),2)</f>
        <v>0</v>
      </c>
      <c r="T55" s="26"/>
      <c r="U55" s="141">
        <f t="shared" ref="U55:U90" si="44">ROUND((V55*C55),2)</f>
        <v>0</v>
      </c>
      <c r="V55" s="26"/>
      <c r="W55" s="141">
        <f t="shared" ref="W55:W103" si="45">ROUND((X55*C55),2)</f>
        <v>0</v>
      </c>
      <c r="X55" s="26"/>
      <c r="Y55" s="27"/>
      <c r="Z55" s="26"/>
      <c r="AA55" s="122">
        <f t="shared" ref="AA55:AA106" si="46">ROUND((E55+G55+I55+K55+M55+O55+Q55+S55+U55+W55+Y55),2)</f>
        <v>418099.63</v>
      </c>
      <c r="AB55" s="176">
        <f t="shared" ref="AB55:AB106" si="47">ROUND((F55+H55+J55+L55+N55+P55+R55+T55+V55+X55+Z55),2)</f>
        <v>1</v>
      </c>
      <c r="AC55" s="123">
        <f t="shared" ref="AC55:AC106" si="48">(AA55-C55)+1</f>
        <v>1</v>
      </c>
    </row>
    <row r="56" spans="1:29" x14ac:dyDescent="0.2">
      <c r="A56" s="120" t="s">
        <v>166</v>
      </c>
      <c r="B56" s="25" t="str">
        <f>'Orçamento final pintura asfalto'!B96</f>
        <v>Transporte de C.B.U.Q</v>
      </c>
      <c r="C56" s="126">
        <f>'Orçamento final pintura asfalto'!G96</f>
        <v>14329.57</v>
      </c>
      <c r="D56" s="131">
        <f t="shared" si="36"/>
        <v>2.9100539308270997E-2</v>
      </c>
      <c r="E56" s="141">
        <f t="shared" si="39"/>
        <v>0</v>
      </c>
      <c r="F56" s="26"/>
      <c r="G56" s="141"/>
      <c r="H56" s="26"/>
      <c r="I56" s="141"/>
      <c r="J56" s="26"/>
      <c r="K56" s="141"/>
      <c r="L56" s="26"/>
      <c r="M56" s="141">
        <f t="shared" si="40"/>
        <v>0</v>
      </c>
      <c r="N56" s="26"/>
      <c r="O56" s="141">
        <f t="shared" si="41"/>
        <v>14329.57</v>
      </c>
      <c r="P56" s="26">
        <v>1</v>
      </c>
      <c r="Q56" s="141">
        <f t="shared" si="42"/>
        <v>0</v>
      </c>
      <c r="R56" s="26"/>
      <c r="S56" s="141">
        <f t="shared" si="43"/>
        <v>0</v>
      </c>
      <c r="T56" s="26"/>
      <c r="U56" s="141">
        <f t="shared" si="44"/>
        <v>0</v>
      </c>
      <c r="V56" s="26"/>
      <c r="W56" s="141">
        <f t="shared" si="45"/>
        <v>0</v>
      </c>
      <c r="X56" s="26"/>
      <c r="Y56" s="27"/>
      <c r="Z56" s="26"/>
      <c r="AA56" s="122">
        <f t="shared" si="46"/>
        <v>14329.57</v>
      </c>
      <c r="AB56" s="176">
        <f t="shared" si="47"/>
        <v>1</v>
      </c>
      <c r="AC56" s="123">
        <f t="shared" si="48"/>
        <v>1</v>
      </c>
    </row>
    <row r="57" spans="1:29" s="137" customFormat="1" x14ac:dyDescent="0.2">
      <c r="A57" s="132" t="s">
        <v>108</v>
      </c>
      <c r="B57" s="132" t="str">
        <f>'Orçamento final pintura asfalto'!B98</f>
        <v>SINALIZAÇÃO</v>
      </c>
      <c r="C57" s="133">
        <f>SUM(C58:C63)</f>
        <v>31874.82</v>
      </c>
      <c r="D57" s="134">
        <f t="shared" si="36"/>
        <v>6.4731492456093415E-2</v>
      </c>
      <c r="E57" s="135"/>
      <c r="F57" s="134"/>
      <c r="G57" s="136"/>
      <c r="H57" s="134"/>
      <c r="I57" s="136"/>
      <c r="J57" s="134"/>
      <c r="K57" s="135"/>
      <c r="L57" s="134"/>
      <c r="M57" s="177">
        <f t="shared" si="40"/>
        <v>0</v>
      </c>
      <c r="N57" s="134"/>
      <c r="O57" s="177">
        <f t="shared" si="41"/>
        <v>0</v>
      </c>
      <c r="P57" s="134"/>
      <c r="Q57" s="177">
        <f t="shared" si="42"/>
        <v>0</v>
      </c>
      <c r="R57" s="134"/>
      <c r="S57" s="177">
        <f t="shared" si="43"/>
        <v>0</v>
      </c>
      <c r="T57" s="134"/>
      <c r="U57" s="177">
        <f t="shared" si="44"/>
        <v>0</v>
      </c>
      <c r="V57" s="134"/>
      <c r="W57" s="177">
        <f t="shared" si="45"/>
        <v>0</v>
      </c>
      <c r="X57" s="134"/>
      <c r="Y57" s="136"/>
      <c r="Z57" s="134"/>
      <c r="AA57" s="178">
        <f t="shared" si="46"/>
        <v>0</v>
      </c>
      <c r="AB57" s="179">
        <f t="shared" si="47"/>
        <v>0</v>
      </c>
      <c r="AC57" s="180">
        <f t="shared" si="48"/>
        <v>-31873.82</v>
      </c>
    </row>
    <row r="58" spans="1:29" x14ac:dyDescent="0.2">
      <c r="A58" s="120" t="s">
        <v>167</v>
      </c>
      <c r="B58" s="25" t="str">
        <f>'Orçamento final pintura asfalto'!B99</f>
        <v>Pintura a quente (eixo da via e faixas e setas)</v>
      </c>
      <c r="C58" s="126">
        <f>'Orçamento final pintura asfalto'!G99</f>
        <v>2959.04</v>
      </c>
      <c r="D58" s="131">
        <f t="shared" si="36"/>
        <v>6.0092284579890539E-3</v>
      </c>
      <c r="E58" s="141">
        <f>F58*C58</f>
        <v>0</v>
      </c>
      <c r="F58" s="26"/>
      <c r="G58" s="141"/>
      <c r="H58" s="26"/>
      <c r="I58" s="141"/>
      <c r="J58" s="26"/>
      <c r="K58" s="141"/>
      <c r="L58" s="26"/>
      <c r="M58" s="141">
        <f t="shared" si="40"/>
        <v>0</v>
      </c>
      <c r="N58" s="26"/>
      <c r="O58" s="141">
        <f t="shared" si="41"/>
        <v>2959.04</v>
      </c>
      <c r="P58" s="26">
        <v>1</v>
      </c>
      <c r="Q58" s="141">
        <f t="shared" si="42"/>
        <v>0</v>
      </c>
      <c r="R58" s="26"/>
      <c r="S58" s="141">
        <f t="shared" si="43"/>
        <v>0</v>
      </c>
      <c r="T58" s="26"/>
      <c r="U58" s="141">
        <f t="shared" si="44"/>
        <v>0</v>
      </c>
      <c r="V58" s="26"/>
      <c r="W58" s="141">
        <f t="shared" si="45"/>
        <v>0</v>
      </c>
      <c r="X58" s="26"/>
      <c r="Y58" s="27"/>
      <c r="Z58" s="26"/>
      <c r="AA58" s="122">
        <f t="shared" si="46"/>
        <v>2959.04</v>
      </c>
      <c r="AB58" s="176">
        <f t="shared" si="47"/>
        <v>1</v>
      </c>
      <c r="AC58" s="123">
        <f t="shared" si="48"/>
        <v>1</v>
      </c>
    </row>
    <row r="59" spans="1:29" x14ac:dyDescent="0.2">
      <c r="A59" s="120" t="s">
        <v>168</v>
      </c>
      <c r="B59" s="25" t="str">
        <f>'Orçamento final pintura asfalto'!B100</f>
        <v>Pintura a frio (ciclovia)</v>
      </c>
      <c r="C59" s="126">
        <f>'Orçamento final pintura asfalto'!G100</f>
        <v>12016.46</v>
      </c>
      <c r="D59" s="131">
        <f t="shared" si="36"/>
        <v>2.4403067682859016E-2</v>
      </c>
      <c r="E59" s="141">
        <f t="shared" ref="E59:E60" si="49">F59*C59</f>
        <v>0</v>
      </c>
      <c r="F59" s="26"/>
      <c r="G59" s="141"/>
      <c r="H59" s="26"/>
      <c r="I59" s="141"/>
      <c r="J59" s="26"/>
      <c r="K59" s="141"/>
      <c r="L59" s="26"/>
      <c r="M59" s="141">
        <f t="shared" si="40"/>
        <v>0</v>
      </c>
      <c r="N59" s="26"/>
      <c r="O59" s="141">
        <f t="shared" si="41"/>
        <v>12016.46</v>
      </c>
      <c r="P59" s="26">
        <v>1</v>
      </c>
      <c r="Q59" s="141">
        <f t="shared" si="42"/>
        <v>0</v>
      </c>
      <c r="R59" s="26"/>
      <c r="S59" s="141">
        <f t="shared" si="43"/>
        <v>0</v>
      </c>
      <c r="T59" s="26"/>
      <c r="U59" s="141">
        <f t="shared" si="44"/>
        <v>0</v>
      </c>
      <c r="V59" s="26"/>
      <c r="W59" s="141">
        <f t="shared" si="45"/>
        <v>0</v>
      </c>
      <c r="X59" s="26"/>
      <c r="Y59" s="27"/>
      <c r="Z59" s="26"/>
      <c r="AA59" s="122">
        <f t="shared" si="46"/>
        <v>12016.46</v>
      </c>
      <c r="AB59" s="176">
        <f t="shared" si="47"/>
        <v>1</v>
      </c>
      <c r="AC59" s="123">
        <f t="shared" si="48"/>
        <v>1</v>
      </c>
    </row>
    <row r="60" spans="1:29" x14ac:dyDescent="0.2">
      <c r="A60" s="120" t="s">
        <v>169</v>
      </c>
      <c r="B60" s="25" t="str">
        <f>'Orçamento final pintura asfalto'!B101</f>
        <v>Tachão bidirecional</v>
      </c>
      <c r="C60" s="126">
        <f>'Orçamento final pintura asfalto'!G101</f>
        <v>428.31</v>
      </c>
      <c r="D60" s="131">
        <f t="shared" si="36"/>
        <v>8.6981339922450923E-4</v>
      </c>
      <c r="E60" s="141">
        <f t="shared" si="49"/>
        <v>0</v>
      </c>
      <c r="F60" s="26"/>
      <c r="G60" s="141"/>
      <c r="H60" s="26"/>
      <c r="I60" s="141"/>
      <c r="J60" s="26"/>
      <c r="K60" s="141"/>
      <c r="L60" s="26"/>
      <c r="M60" s="141">
        <f t="shared" si="40"/>
        <v>0</v>
      </c>
      <c r="N60" s="26"/>
      <c r="O60" s="141">
        <f t="shared" si="41"/>
        <v>428.31</v>
      </c>
      <c r="P60" s="26">
        <v>1</v>
      </c>
      <c r="Q60" s="141">
        <f t="shared" si="42"/>
        <v>0</v>
      </c>
      <c r="R60" s="26"/>
      <c r="S60" s="141">
        <f t="shared" si="43"/>
        <v>0</v>
      </c>
      <c r="T60" s="26"/>
      <c r="U60" s="141">
        <f t="shared" si="44"/>
        <v>0</v>
      </c>
      <c r="V60" s="26"/>
      <c r="W60" s="141">
        <f t="shared" si="45"/>
        <v>0</v>
      </c>
      <c r="X60" s="26"/>
      <c r="Y60" s="27"/>
      <c r="Z60" s="26"/>
      <c r="AA60" s="122">
        <f t="shared" si="46"/>
        <v>428.31</v>
      </c>
      <c r="AB60" s="176">
        <f t="shared" si="47"/>
        <v>1</v>
      </c>
      <c r="AC60" s="123">
        <f t="shared" si="48"/>
        <v>1</v>
      </c>
    </row>
    <row r="61" spans="1:29" x14ac:dyDescent="0.2">
      <c r="A61" s="120" t="s">
        <v>170</v>
      </c>
      <c r="B61" s="25" t="str">
        <f>'Orçamento final pintura asfalto'!B102</f>
        <v>Tachão monodirecional</v>
      </c>
      <c r="C61" s="126">
        <f>'Orçamento final pintura asfalto'!G102</f>
        <v>6876.48</v>
      </c>
      <c r="D61" s="131">
        <f t="shared" si="36"/>
        <v>1.396477888328396E-2</v>
      </c>
      <c r="E61" s="141">
        <f t="shared" ref="E61:E63" si="50">F61*C61</f>
        <v>0</v>
      </c>
      <c r="F61" s="26"/>
      <c r="G61" s="141"/>
      <c r="H61" s="26"/>
      <c r="I61" s="141"/>
      <c r="J61" s="26"/>
      <c r="K61" s="141"/>
      <c r="L61" s="26"/>
      <c r="M61" s="141">
        <f t="shared" si="40"/>
        <v>0</v>
      </c>
      <c r="N61" s="26"/>
      <c r="O61" s="141">
        <f t="shared" si="41"/>
        <v>6876.48</v>
      </c>
      <c r="P61" s="26">
        <v>1</v>
      </c>
      <c r="Q61" s="141">
        <f t="shared" si="42"/>
        <v>0</v>
      </c>
      <c r="R61" s="26"/>
      <c r="S61" s="141">
        <f t="shared" si="43"/>
        <v>0</v>
      </c>
      <c r="T61" s="26"/>
      <c r="U61" s="141">
        <f t="shared" si="44"/>
        <v>0</v>
      </c>
      <c r="V61" s="26"/>
      <c r="W61" s="141">
        <f t="shared" si="45"/>
        <v>0</v>
      </c>
      <c r="X61" s="26"/>
      <c r="Y61" s="27"/>
      <c r="Z61" s="26"/>
      <c r="AA61" s="122">
        <f t="shared" si="46"/>
        <v>6876.48</v>
      </c>
      <c r="AB61" s="176">
        <f t="shared" si="47"/>
        <v>1</v>
      </c>
      <c r="AC61" s="123">
        <f t="shared" si="48"/>
        <v>1</v>
      </c>
    </row>
    <row r="62" spans="1:29" x14ac:dyDescent="0.2">
      <c r="A62" s="120" t="s">
        <v>171</v>
      </c>
      <c r="B62" s="25" t="str">
        <f>'Orçamento final pintura asfalto'!B103</f>
        <v>Tacha monodirecional</v>
      </c>
      <c r="C62" s="126">
        <f>'Orçamento final pintura asfalto'!G103</f>
        <v>1147.04</v>
      </c>
      <c r="D62" s="131">
        <f t="shared" si="36"/>
        <v>2.3294127184667205E-3</v>
      </c>
      <c r="E62" s="141">
        <f t="shared" ref="E62" si="51">F62*C62</f>
        <v>0</v>
      </c>
      <c r="F62" s="26"/>
      <c r="G62" s="141"/>
      <c r="H62" s="26"/>
      <c r="I62" s="141"/>
      <c r="J62" s="26"/>
      <c r="K62" s="141"/>
      <c r="L62" s="26"/>
      <c r="M62" s="141">
        <f t="shared" si="40"/>
        <v>0</v>
      </c>
      <c r="N62" s="26"/>
      <c r="O62" s="141">
        <f t="shared" si="41"/>
        <v>1147.04</v>
      </c>
      <c r="P62" s="26">
        <v>1</v>
      </c>
      <c r="Q62" s="141">
        <f t="shared" si="42"/>
        <v>0</v>
      </c>
      <c r="R62" s="26"/>
      <c r="S62" s="141">
        <f t="shared" si="43"/>
        <v>0</v>
      </c>
      <c r="T62" s="26"/>
      <c r="U62" s="141">
        <f t="shared" si="44"/>
        <v>0</v>
      </c>
      <c r="V62" s="26"/>
      <c r="W62" s="141">
        <f t="shared" si="45"/>
        <v>0</v>
      </c>
      <c r="X62" s="26"/>
      <c r="Y62" s="27"/>
      <c r="Z62" s="26"/>
      <c r="AA62" s="122">
        <f t="shared" si="46"/>
        <v>1147.04</v>
      </c>
      <c r="AB62" s="176">
        <f t="shared" si="47"/>
        <v>1</v>
      </c>
      <c r="AC62" s="123">
        <f t="shared" si="48"/>
        <v>1</v>
      </c>
    </row>
    <row r="63" spans="1:29" x14ac:dyDescent="0.2">
      <c r="A63" s="120" t="s">
        <v>262</v>
      </c>
      <c r="B63" s="25" t="str">
        <f>'Orçamento final pintura asfalto'!B104</f>
        <v>Segregador</v>
      </c>
      <c r="C63" s="126">
        <f>'Orçamento final pintura asfalto'!G104</f>
        <v>8447.49</v>
      </c>
      <c r="D63" s="131">
        <f t="shared" si="36"/>
        <v>1.7155191314270155E-2</v>
      </c>
      <c r="E63" s="141">
        <f t="shared" si="50"/>
        <v>0</v>
      </c>
      <c r="F63" s="26"/>
      <c r="G63" s="141"/>
      <c r="H63" s="26"/>
      <c r="I63" s="141"/>
      <c r="J63" s="26"/>
      <c r="K63" s="141"/>
      <c r="L63" s="26"/>
      <c r="M63" s="141">
        <f t="shared" si="40"/>
        <v>0</v>
      </c>
      <c r="N63" s="26"/>
      <c r="O63" s="141">
        <f t="shared" si="41"/>
        <v>8447.49</v>
      </c>
      <c r="P63" s="26">
        <v>1</v>
      </c>
      <c r="Q63" s="141">
        <f t="shared" si="42"/>
        <v>0</v>
      </c>
      <c r="R63" s="26"/>
      <c r="S63" s="141">
        <f t="shared" si="43"/>
        <v>0</v>
      </c>
      <c r="T63" s="26"/>
      <c r="U63" s="141">
        <f t="shared" si="44"/>
        <v>0</v>
      </c>
      <c r="V63" s="26"/>
      <c r="W63" s="141">
        <f t="shared" si="45"/>
        <v>0</v>
      </c>
      <c r="X63" s="26"/>
      <c r="Y63" s="27"/>
      <c r="Z63" s="26"/>
      <c r="AA63" s="122">
        <f t="shared" si="46"/>
        <v>8447.49</v>
      </c>
      <c r="AB63" s="176">
        <f t="shared" si="47"/>
        <v>1</v>
      </c>
      <c r="AC63" s="123">
        <f t="shared" si="48"/>
        <v>1</v>
      </c>
    </row>
    <row r="64" spans="1:29" s="6" customFormat="1" x14ac:dyDescent="0.2">
      <c r="A64" s="28"/>
      <c r="B64" s="28" t="s">
        <v>37</v>
      </c>
      <c r="C64" s="129">
        <f>C57+C52+C50+C46</f>
        <v>492415.96</v>
      </c>
      <c r="D64" s="29">
        <f>C64/C108</f>
        <v>0.11386491270128986</v>
      </c>
      <c r="E64" s="121"/>
      <c r="F64" s="28"/>
      <c r="G64" s="30"/>
      <c r="H64" s="29"/>
      <c r="I64" s="30"/>
      <c r="J64" s="29"/>
      <c r="K64" s="141"/>
      <c r="L64" s="28"/>
      <c r="M64" s="141">
        <f t="shared" si="40"/>
        <v>0</v>
      </c>
      <c r="N64" s="29"/>
      <c r="O64" s="141">
        <f t="shared" si="41"/>
        <v>0</v>
      </c>
      <c r="P64" s="29"/>
      <c r="Q64" s="141">
        <f t="shared" si="42"/>
        <v>0</v>
      </c>
      <c r="R64" s="28"/>
      <c r="S64" s="141">
        <f t="shared" si="43"/>
        <v>0</v>
      </c>
      <c r="T64" s="29"/>
      <c r="U64" s="141">
        <f t="shared" si="44"/>
        <v>0</v>
      </c>
      <c r="V64" s="29"/>
      <c r="W64" s="141">
        <f t="shared" si="45"/>
        <v>0</v>
      </c>
      <c r="X64" s="29"/>
      <c r="Y64" s="30"/>
      <c r="Z64" s="29"/>
      <c r="AA64" s="122">
        <f t="shared" si="46"/>
        <v>0</v>
      </c>
      <c r="AB64" s="176">
        <f t="shared" si="47"/>
        <v>0</v>
      </c>
      <c r="AC64" s="123">
        <f t="shared" si="48"/>
        <v>-492414.96</v>
      </c>
    </row>
    <row r="65" spans="1:29" s="137" customFormat="1" x14ac:dyDescent="0.2">
      <c r="A65" s="132"/>
      <c r="B65" s="132" t="str">
        <f>'Orçamento final pintura asfalto'!B108</f>
        <v>RUA ARISTILIANO RAMOS (TRECHO ENTRE 165M ANTES DA RUA TIROLESES ATÉ  RUA CAMPINAS) - TIMBÓ - SC</v>
      </c>
      <c r="C65" s="133"/>
      <c r="D65" s="134"/>
      <c r="E65" s="135"/>
      <c r="F65" s="134"/>
      <c r="G65" s="136"/>
      <c r="H65" s="134"/>
      <c r="I65" s="136"/>
      <c r="J65" s="134"/>
      <c r="K65" s="135"/>
      <c r="L65" s="134"/>
      <c r="M65" s="177">
        <f t="shared" si="40"/>
        <v>0</v>
      </c>
      <c r="N65" s="134"/>
      <c r="O65" s="177">
        <f t="shared" si="41"/>
        <v>0</v>
      </c>
      <c r="P65" s="134"/>
      <c r="Q65" s="177">
        <f t="shared" si="42"/>
        <v>0</v>
      </c>
      <c r="R65" s="134"/>
      <c r="S65" s="177">
        <f t="shared" si="43"/>
        <v>0</v>
      </c>
      <c r="T65" s="134"/>
      <c r="U65" s="177">
        <f t="shared" si="44"/>
        <v>0</v>
      </c>
      <c r="V65" s="134"/>
      <c r="W65" s="177">
        <f t="shared" si="45"/>
        <v>0</v>
      </c>
      <c r="X65" s="134"/>
      <c r="Y65" s="136"/>
      <c r="Z65" s="134"/>
      <c r="AA65" s="178">
        <f t="shared" si="46"/>
        <v>0</v>
      </c>
      <c r="AB65" s="179">
        <f t="shared" si="47"/>
        <v>0</v>
      </c>
      <c r="AC65" s="180">
        <f t="shared" si="48"/>
        <v>1</v>
      </c>
    </row>
    <row r="66" spans="1:29" s="137" customFormat="1" x14ac:dyDescent="0.2">
      <c r="A66" s="132" t="s">
        <v>172</v>
      </c>
      <c r="B66" s="132" t="str">
        <f>'Orçamento final pintura asfalto'!B111</f>
        <v>SERVIÇOS INICIAIS</v>
      </c>
      <c r="C66" s="133">
        <f>SUM(C67:C69)</f>
        <v>7676.8700000000008</v>
      </c>
      <c r="D66" s="134">
        <f>C66/$C$88</f>
        <v>5.2175396440669701E-3</v>
      </c>
      <c r="E66" s="135">
        <f>F66*C66</f>
        <v>0</v>
      </c>
      <c r="F66" s="134"/>
      <c r="G66" s="136">
        <f>H66*C66</f>
        <v>0</v>
      </c>
      <c r="H66" s="134"/>
      <c r="I66" s="136">
        <f>J66*C66</f>
        <v>0</v>
      </c>
      <c r="J66" s="134"/>
      <c r="K66" s="135">
        <f>L66*I66</f>
        <v>0</v>
      </c>
      <c r="L66" s="134"/>
      <c r="M66" s="177">
        <f t="shared" si="40"/>
        <v>0</v>
      </c>
      <c r="N66" s="134"/>
      <c r="O66" s="177">
        <f t="shared" si="41"/>
        <v>0</v>
      </c>
      <c r="P66" s="134"/>
      <c r="Q66" s="177">
        <f t="shared" si="42"/>
        <v>0</v>
      </c>
      <c r="R66" s="134"/>
      <c r="S66" s="177">
        <f t="shared" si="43"/>
        <v>0</v>
      </c>
      <c r="T66" s="134"/>
      <c r="U66" s="177">
        <f t="shared" si="44"/>
        <v>0</v>
      </c>
      <c r="V66" s="134"/>
      <c r="W66" s="177">
        <f t="shared" si="45"/>
        <v>0</v>
      </c>
      <c r="X66" s="134"/>
      <c r="Y66" s="136">
        <f>Z66*S66</f>
        <v>0</v>
      </c>
      <c r="Z66" s="134"/>
      <c r="AA66" s="178">
        <f t="shared" si="46"/>
        <v>0</v>
      </c>
      <c r="AB66" s="179">
        <f t="shared" si="47"/>
        <v>0</v>
      </c>
      <c r="AC66" s="180">
        <f t="shared" si="48"/>
        <v>-7675.8700000000008</v>
      </c>
    </row>
    <row r="67" spans="1:29" x14ac:dyDescent="0.2">
      <c r="A67" s="120" t="s">
        <v>173</v>
      </c>
      <c r="B67" s="175" t="str">
        <f>'Orçamento final pintura asfalto'!B112</f>
        <v>Placa de Obra, conforme padrão da Caixa (tamanho mínimo 2,00mx1,25m)</v>
      </c>
      <c r="C67" s="126">
        <f>'Orçamento final pintura asfalto'!G112</f>
        <v>923.05</v>
      </c>
      <c r="D67" s="131">
        <f>C67/$C$88</f>
        <v>6.2734551561456891E-4</v>
      </c>
      <c r="E67" s="141">
        <f t="shared" ref="E67:E69" si="52">F67*C67</f>
        <v>0</v>
      </c>
      <c r="F67" s="26"/>
      <c r="G67" s="141"/>
      <c r="H67" s="26"/>
      <c r="I67" s="27"/>
      <c r="J67" s="26"/>
      <c r="K67" s="141"/>
      <c r="L67" s="26"/>
      <c r="M67" s="141">
        <f t="shared" si="40"/>
        <v>0</v>
      </c>
      <c r="N67" s="26"/>
      <c r="O67" s="141">
        <f t="shared" si="41"/>
        <v>0</v>
      </c>
      <c r="P67" s="26"/>
      <c r="Q67" s="141">
        <f t="shared" si="42"/>
        <v>923.05</v>
      </c>
      <c r="R67" s="26">
        <v>1</v>
      </c>
      <c r="S67" s="141">
        <f t="shared" si="43"/>
        <v>0</v>
      </c>
      <c r="T67" s="26"/>
      <c r="U67" s="141">
        <f t="shared" si="44"/>
        <v>0</v>
      </c>
      <c r="V67" s="26"/>
      <c r="W67" s="141">
        <f t="shared" si="45"/>
        <v>0</v>
      </c>
      <c r="X67" s="26"/>
      <c r="Y67" s="141">
        <f>Z67*G67</f>
        <v>0</v>
      </c>
      <c r="Z67" s="26"/>
      <c r="AA67" s="122">
        <f t="shared" si="46"/>
        <v>923.05</v>
      </c>
      <c r="AB67" s="176">
        <f t="shared" si="47"/>
        <v>1</v>
      </c>
      <c r="AC67" s="123">
        <f t="shared" si="48"/>
        <v>1</v>
      </c>
    </row>
    <row r="68" spans="1:29" x14ac:dyDescent="0.2">
      <c r="A68" s="120" t="s">
        <v>174</v>
      </c>
      <c r="B68" s="175" t="str">
        <f>'Orçamento final pintura asfalto'!B113</f>
        <v>Locação da obra com uso de equipamentos topográficos, inclusive topógrafo e nivelador</v>
      </c>
      <c r="C68" s="126">
        <f>'Orçamento final pintura asfalto'!G113</f>
        <v>6181.3</v>
      </c>
      <c r="D68" s="131">
        <f t="shared" ref="D68" si="53">C68/$C$88</f>
        <v>4.2010842702652458E-3</v>
      </c>
      <c r="E68" s="141">
        <f t="shared" si="52"/>
        <v>0</v>
      </c>
      <c r="F68" s="26"/>
      <c r="G68" s="141"/>
      <c r="H68" s="26"/>
      <c r="I68" s="27"/>
      <c r="J68" s="26"/>
      <c r="K68" s="141"/>
      <c r="L68" s="26"/>
      <c r="M68" s="141">
        <f t="shared" si="40"/>
        <v>0</v>
      </c>
      <c r="N68" s="26"/>
      <c r="O68" s="141">
        <f t="shared" si="41"/>
        <v>0</v>
      </c>
      <c r="P68" s="26"/>
      <c r="Q68" s="141">
        <f t="shared" si="42"/>
        <v>6181.3</v>
      </c>
      <c r="R68" s="26">
        <v>1</v>
      </c>
      <c r="S68" s="141">
        <f t="shared" si="43"/>
        <v>0</v>
      </c>
      <c r="T68" s="26"/>
      <c r="U68" s="141">
        <f t="shared" si="44"/>
        <v>0</v>
      </c>
      <c r="V68" s="26"/>
      <c r="W68" s="141">
        <f t="shared" si="45"/>
        <v>0</v>
      </c>
      <c r="X68" s="26"/>
      <c r="Y68" s="141">
        <f t="shared" ref="Y68" si="54">Z68*G68</f>
        <v>0</v>
      </c>
      <c r="Z68" s="26"/>
      <c r="AA68" s="122">
        <f t="shared" si="46"/>
        <v>6181.3</v>
      </c>
      <c r="AB68" s="176">
        <f t="shared" si="47"/>
        <v>1</v>
      </c>
      <c r="AC68" s="123">
        <f t="shared" si="48"/>
        <v>1</v>
      </c>
    </row>
    <row r="69" spans="1:29" x14ac:dyDescent="0.2">
      <c r="A69" s="120" t="s">
        <v>175</v>
      </c>
      <c r="B69" s="175" t="str">
        <f>'Orçamento final pintura asfalto'!B114</f>
        <v>Caminhão pipa 10.000 l trucado, peso bruto total 23.000 kg, carga útil máxima 15.935 kg, distância entre eixos 4,8 m, potência 230 cv, inclusive tanque de aço para transporte de água (lavar paralelipípedo)</v>
      </c>
      <c r="C69" s="126">
        <f>'Orçamento final pintura asfalto'!G114</f>
        <v>572.52</v>
      </c>
      <c r="D69" s="131">
        <f t="shared" ref="D69:D87" si="55">C69/$C$88</f>
        <v>3.8910985818715454E-4</v>
      </c>
      <c r="E69" s="141">
        <f t="shared" si="52"/>
        <v>0</v>
      </c>
      <c r="F69" s="26"/>
      <c r="G69" s="141"/>
      <c r="H69" s="26"/>
      <c r="I69" s="27"/>
      <c r="J69" s="26"/>
      <c r="K69" s="141"/>
      <c r="L69" s="26"/>
      <c r="M69" s="141">
        <f t="shared" si="40"/>
        <v>0</v>
      </c>
      <c r="N69" s="26"/>
      <c r="O69" s="141">
        <f t="shared" si="41"/>
        <v>0</v>
      </c>
      <c r="P69" s="26"/>
      <c r="Q69" s="141">
        <f t="shared" si="42"/>
        <v>572.52</v>
      </c>
      <c r="R69" s="26">
        <v>1</v>
      </c>
      <c r="S69" s="141">
        <f t="shared" si="43"/>
        <v>0</v>
      </c>
      <c r="T69" s="26"/>
      <c r="U69" s="141">
        <f t="shared" si="44"/>
        <v>0</v>
      </c>
      <c r="V69" s="26"/>
      <c r="W69" s="141">
        <f t="shared" si="45"/>
        <v>0</v>
      </c>
      <c r="X69" s="26"/>
      <c r="Y69" s="141">
        <f>Z69*G69</f>
        <v>0</v>
      </c>
      <c r="Z69" s="26"/>
      <c r="AA69" s="122">
        <f t="shared" si="46"/>
        <v>572.52</v>
      </c>
      <c r="AB69" s="176">
        <f t="shared" si="47"/>
        <v>1</v>
      </c>
      <c r="AC69" s="123">
        <f t="shared" si="48"/>
        <v>1</v>
      </c>
    </row>
    <row r="70" spans="1:29" s="137" customFormat="1" x14ac:dyDescent="0.2">
      <c r="A70" s="132" t="s">
        <v>176</v>
      </c>
      <c r="B70" s="132" t="str">
        <f>'Orçamento final pintura asfalto'!B116</f>
        <v>DRENAGEM</v>
      </c>
      <c r="C70" s="133">
        <f>C71</f>
        <v>1887.9</v>
      </c>
      <c r="D70" s="134">
        <f t="shared" si="55"/>
        <v>1.2831001559273547E-3</v>
      </c>
      <c r="E70" s="135"/>
      <c r="F70" s="134"/>
      <c r="G70" s="136"/>
      <c r="H70" s="134"/>
      <c r="I70" s="136"/>
      <c r="J70" s="134"/>
      <c r="K70" s="135"/>
      <c r="L70" s="134"/>
      <c r="M70" s="177">
        <f t="shared" si="40"/>
        <v>0</v>
      </c>
      <c r="N70" s="134"/>
      <c r="O70" s="177">
        <f t="shared" si="41"/>
        <v>0</v>
      </c>
      <c r="P70" s="134"/>
      <c r="Q70" s="177">
        <f t="shared" si="42"/>
        <v>0</v>
      </c>
      <c r="R70" s="134"/>
      <c r="S70" s="177">
        <f t="shared" si="43"/>
        <v>0</v>
      </c>
      <c r="T70" s="134"/>
      <c r="U70" s="177">
        <f t="shared" si="44"/>
        <v>0</v>
      </c>
      <c r="V70" s="134"/>
      <c r="W70" s="177">
        <f t="shared" si="45"/>
        <v>0</v>
      </c>
      <c r="X70" s="134"/>
      <c r="Y70" s="136"/>
      <c r="Z70" s="134"/>
      <c r="AA70" s="178">
        <f t="shared" si="46"/>
        <v>0</v>
      </c>
      <c r="AB70" s="179">
        <f t="shared" si="47"/>
        <v>0</v>
      </c>
      <c r="AC70" s="180">
        <f t="shared" si="48"/>
        <v>-1886.9</v>
      </c>
    </row>
    <row r="71" spans="1:29" s="143" customFormat="1" x14ac:dyDescent="0.2">
      <c r="A71" s="138" t="s">
        <v>177</v>
      </c>
      <c r="B71" s="175" t="str">
        <f>'Orçamento final pintura asfalto'!B117</f>
        <v>Alteamento das caixas de captação existente</v>
      </c>
      <c r="C71" s="139">
        <f>'Orçamento final pintura asfalto'!G117</f>
        <v>1887.9</v>
      </c>
      <c r="D71" s="131">
        <f t="shared" si="55"/>
        <v>1.2831001559273547E-3</v>
      </c>
      <c r="E71" s="141">
        <f t="shared" ref="E71" si="56">F71*C71</f>
        <v>0</v>
      </c>
      <c r="F71" s="140"/>
      <c r="G71" s="141"/>
      <c r="H71" s="140"/>
      <c r="I71" s="141"/>
      <c r="J71" s="140"/>
      <c r="K71" s="141"/>
      <c r="L71" s="140"/>
      <c r="M71" s="141">
        <f t="shared" si="40"/>
        <v>0</v>
      </c>
      <c r="N71" s="140"/>
      <c r="O71" s="141">
        <f t="shared" si="41"/>
        <v>0</v>
      </c>
      <c r="P71" s="140"/>
      <c r="Q71" s="141">
        <f t="shared" si="42"/>
        <v>0</v>
      </c>
      <c r="R71" s="140"/>
      <c r="S71" s="141">
        <f t="shared" si="43"/>
        <v>566.37</v>
      </c>
      <c r="T71" s="140">
        <v>0.3</v>
      </c>
      <c r="U71" s="141">
        <f t="shared" si="44"/>
        <v>1321.53</v>
      </c>
      <c r="V71" s="140">
        <v>0.7</v>
      </c>
      <c r="W71" s="141">
        <f t="shared" si="45"/>
        <v>0</v>
      </c>
      <c r="X71" s="140"/>
      <c r="Y71" s="141"/>
      <c r="Z71" s="140"/>
      <c r="AA71" s="122">
        <f t="shared" si="46"/>
        <v>1887.9</v>
      </c>
      <c r="AB71" s="176">
        <f t="shared" si="47"/>
        <v>1</v>
      </c>
      <c r="AC71" s="123">
        <f t="shared" si="48"/>
        <v>1</v>
      </c>
    </row>
    <row r="72" spans="1:29" s="137" customFormat="1" x14ac:dyDescent="0.2">
      <c r="A72" s="132" t="s">
        <v>178</v>
      </c>
      <c r="B72" s="132" t="str">
        <f>'Orçamento final pintura asfalto'!B119</f>
        <v>PAVIMENTAÇÃO</v>
      </c>
      <c r="C72" s="133">
        <f>SUM(C73:C78)</f>
        <v>1373767.6400000001</v>
      </c>
      <c r="D72" s="134">
        <f t="shared" si="55"/>
        <v>0.93367311462045355</v>
      </c>
      <c r="E72" s="135"/>
      <c r="F72" s="134"/>
      <c r="G72" s="136"/>
      <c r="H72" s="134"/>
      <c r="I72" s="136"/>
      <c r="J72" s="134"/>
      <c r="K72" s="135"/>
      <c r="L72" s="134"/>
      <c r="M72" s="177">
        <f t="shared" si="40"/>
        <v>0</v>
      </c>
      <c r="N72" s="134"/>
      <c r="O72" s="177">
        <f t="shared" si="41"/>
        <v>0</v>
      </c>
      <c r="P72" s="134"/>
      <c r="Q72" s="177">
        <f t="shared" si="42"/>
        <v>0</v>
      </c>
      <c r="R72" s="134"/>
      <c r="S72" s="177">
        <f t="shared" si="43"/>
        <v>0</v>
      </c>
      <c r="T72" s="134"/>
      <c r="U72" s="177">
        <f t="shared" si="44"/>
        <v>0</v>
      </c>
      <c r="V72" s="134"/>
      <c r="W72" s="177">
        <f t="shared" si="45"/>
        <v>0</v>
      </c>
      <c r="X72" s="134"/>
      <c r="Y72" s="136"/>
      <c r="Z72" s="134"/>
      <c r="AA72" s="178">
        <f t="shared" si="46"/>
        <v>0</v>
      </c>
      <c r="AB72" s="179">
        <f t="shared" si="47"/>
        <v>0</v>
      </c>
      <c r="AC72" s="180">
        <f t="shared" si="48"/>
        <v>-1373766.6400000001</v>
      </c>
    </row>
    <row r="73" spans="1:29" x14ac:dyDescent="0.2">
      <c r="A73" s="120" t="s">
        <v>179</v>
      </c>
      <c r="B73" s="175" t="str">
        <f>'Orçamento final pintura asfalto'!B120</f>
        <v>Recuperação de camadas abaixo do pavimentação existente</v>
      </c>
      <c r="C73" s="126">
        <f>'Orçamento final pintura asfalto'!G120</f>
        <v>31403.9</v>
      </c>
      <c r="D73" s="131">
        <f t="shared" si="55"/>
        <v>2.1343476342352379E-2</v>
      </c>
      <c r="E73" s="141">
        <f t="shared" ref="E73:E78" si="57">F73*C73</f>
        <v>0</v>
      </c>
      <c r="F73" s="26"/>
      <c r="G73" s="141"/>
      <c r="H73" s="26"/>
      <c r="I73" s="141"/>
      <c r="J73" s="26"/>
      <c r="K73" s="141"/>
      <c r="L73" s="26"/>
      <c r="M73" s="141">
        <f t="shared" si="40"/>
        <v>0</v>
      </c>
      <c r="N73" s="26"/>
      <c r="O73" s="141"/>
      <c r="P73" s="26"/>
      <c r="Q73" s="141">
        <f t="shared" si="42"/>
        <v>12561.56</v>
      </c>
      <c r="R73" s="26">
        <v>0.4</v>
      </c>
      <c r="S73" s="141">
        <f t="shared" si="43"/>
        <v>12561.56</v>
      </c>
      <c r="T73" s="26">
        <v>0.4</v>
      </c>
      <c r="U73" s="141">
        <f t="shared" si="44"/>
        <v>6280.78</v>
      </c>
      <c r="V73" s="26">
        <v>0.2</v>
      </c>
      <c r="W73" s="141">
        <f t="shared" si="45"/>
        <v>0</v>
      </c>
      <c r="X73" s="26"/>
      <c r="Y73" s="141"/>
      <c r="Z73" s="26"/>
      <c r="AA73" s="122">
        <f t="shared" si="46"/>
        <v>31403.9</v>
      </c>
      <c r="AB73" s="176">
        <f t="shared" si="47"/>
        <v>1</v>
      </c>
      <c r="AC73" s="123">
        <f t="shared" si="48"/>
        <v>1</v>
      </c>
    </row>
    <row r="74" spans="1:29" x14ac:dyDescent="0.2">
      <c r="A74" s="120" t="s">
        <v>180</v>
      </c>
      <c r="B74" s="175" t="str">
        <f>'Orçamento final pintura asfalto'!B121</f>
        <v>Pintura de ligação RR - 2C</v>
      </c>
      <c r="C74" s="126">
        <f>'Orçamento final pintura asfalto'!G121</f>
        <v>46135.34</v>
      </c>
      <c r="D74" s="131">
        <f t="shared" si="55"/>
        <v>3.1355613087431282E-2</v>
      </c>
      <c r="E74" s="141">
        <f t="shared" si="57"/>
        <v>0</v>
      </c>
      <c r="F74" s="26"/>
      <c r="G74" s="141"/>
      <c r="H74" s="26"/>
      <c r="I74" s="141"/>
      <c r="J74" s="26"/>
      <c r="K74" s="141"/>
      <c r="L74" s="26"/>
      <c r="M74" s="141">
        <f t="shared" si="40"/>
        <v>0</v>
      </c>
      <c r="N74" s="26"/>
      <c r="O74" s="141"/>
      <c r="P74" s="26"/>
      <c r="Q74" s="141">
        <f t="shared" si="42"/>
        <v>18454.14</v>
      </c>
      <c r="R74" s="26">
        <v>0.4</v>
      </c>
      <c r="S74" s="141">
        <f>(T74*C74)</f>
        <v>18454.135999999999</v>
      </c>
      <c r="T74" s="26">
        <v>0.4</v>
      </c>
      <c r="U74" s="141">
        <f>(V74*C74)</f>
        <v>9227.0679999999993</v>
      </c>
      <c r="V74" s="26">
        <v>0.2</v>
      </c>
      <c r="W74" s="141">
        <f t="shared" si="45"/>
        <v>0</v>
      </c>
      <c r="X74" s="26"/>
      <c r="Y74" s="141"/>
      <c r="Z74" s="26"/>
      <c r="AA74" s="122">
        <f t="shared" si="46"/>
        <v>46135.34</v>
      </c>
      <c r="AB74" s="176">
        <f t="shared" si="47"/>
        <v>1</v>
      </c>
      <c r="AC74" s="123">
        <f t="shared" si="48"/>
        <v>1</v>
      </c>
    </row>
    <row r="75" spans="1:29" x14ac:dyDescent="0.2">
      <c r="A75" s="120" t="s">
        <v>181</v>
      </c>
      <c r="B75" s="175" t="str">
        <f>'Orçamento final pintura asfalto'!B122</f>
        <v>Camada de revestimento c/ C.B.U.Q., Faixa ''C'' , e = 5 cm "compactado"</v>
      </c>
      <c r="C75" s="126">
        <f>'Orçamento final pintura asfalto'!G122</f>
        <v>1221660.6499999999</v>
      </c>
      <c r="D75" s="131">
        <f t="shared" si="55"/>
        <v>0.83029449150130485</v>
      </c>
      <c r="E75" s="141">
        <f t="shared" si="57"/>
        <v>0</v>
      </c>
      <c r="F75" s="26"/>
      <c r="G75" s="141"/>
      <c r="H75" s="26"/>
      <c r="I75" s="141"/>
      <c r="J75" s="26"/>
      <c r="K75" s="141"/>
      <c r="L75" s="26"/>
      <c r="M75" s="141">
        <f t="shared" si="40"/>
        <v>0</v>
      </c>
      <c r="N75" s="26"/>
      <c r="O75" s="141"/>
      <c r="P75" s="26"/>
      <c r="Q75" s="141">
        <f t="shared" si="42"/>
        <v>488664.26</v>
      </c>
      <c r="R75" s="26">
        <v>0.4</v>
      </c>
      <c r="S75" s="141">
        <f t="shared" si="43"/>
        <v>488664.26</v>
      </c>
      <c r="T75" s="26">
        <v>0.4</v>
      </c>
      <c r="U75" s="141">
        <f>ROUND((V75*C75),2)</f>
        <v>244332.13</v>
      </c>
      <c r="V75" s="26">
        <v>0.2</v>
      </c>
      <c r="W75" s="141">
        <f t="shared" si="45"/>
        <v>0</v>
      </c>
      <c r="X75" s="26"/>
      <c r="Y75" s="141"/>
      <c r="Z75" s="26"/>
      <c r="AA75" s="122">
        <f t="shared" si="46"/>
        <v>1221660.6499999999</v>
      </c>
      <c r="AB75" s="176">
        <f t="shared" si="47"/>
        <v>1</v>
      </c>
      <c r="AC75" s="123">
        <f t="shared" si="48"/>
        <v>1</v>
      </c>
    </row>
    <row r="76" spans="1:29" x14ac:dyDescent="0.2">
      <c r="A76" s="120" t="s">
        <v>182</v>
      </c>
      <c r="B76" s="175" t="str">
        <f>'Orçamento final pintura asfalto'!B123</f>
        <v>Transporte de C.B.U.Q</v>
      </c>
      <c r="C76" s="126">
        <f>'Orçamento final pintura asfalto'!G123</f>
        <v>41870.089999999997</v>
      </c>
      <c r="D76" s="131">
        <f t="shared" si="55"/>
        <v>2.8456760955396138E-2</v>
      </c>
      <c r="E76" s="141">
        <f t="shared" si="57"/>
        <v>0</v>
      </c>
      <c r="F76" s="26"/>
      <c r="G76" s="141"/>
      <c r="H76" s="26"/>
      <c r="I76" s="141"/>
      <c r="J76" s="26"/>
      <c r="K76" s="141"/>
      <c r="L76" s="26"/>
      <c r="M76" s="141">
        <f t="shared" si="40"/>
        <v>0</v>
      </c>
      <c r="N76" s="26"/>
      <c r="O76" s="141"/>
      <c r="P76" s="26"/>
      <c r="Q76" s="141">
        <f>(R76*C76)</f>
        <v>16748.036</v>
      </c>
      <c r="R76" s="26">
        <v>0.4</v>
      </c>
      <c r="S76" s="141">
        <f>(T76*C76)</f>
        <v>16748.036</v>
      </c>
      <c r="T76" s="26">
        <v>0.4</v>
      </c>
      <c r="U76" s="141">
        <f t="shared" si="44"/>
        <v>8374.02</v>
      </c>
      <c r="V76" s="26">
        <v>0.2</v>
      </c>
      <c r="W76" s="141">
        <f t="shared" si="45"/>
        <v>0</v>
      </c>
      <c r="X76" s="26"/>
      <c r="Y76" s="141"/>
      <c r="Z76" s="26"/>
      <c r="AA76" s="122">
        <f t="shared" si="46"/>
        <v>41870.089999999997</v>
      </c>
      <c r="AB76" s="176">
        <f t="shared" si="47"/>
        <v>1</v>
      </c>
      <c r="AC76" s="123">
        <f t="shared" si="48"/>
        <v>1</v>
      </c>
    </row>
    <row r="77" spans="1:29" x14ac:dyDescent="0.2">
      <c r="A77" s="120" t="s">
        <v>183</v>
      </c>
      <c r="B77" s="175" t="str">
        <f>'Orçamento final pintura asfalto'!B124</f>
        <v>Execução de piso intertravado, bloco retangular 20x10 cm , esepessura 8 cm</v>
      </c>
      <c r="C77" s="126">
        <f>'Orçamento final pintura asfalto'!G124</f>
        <v>26446.61</v>
      </c>
      <c r="D77" s="131">
        <f t="shared" si="55"/>
        <v>1.7974283285528862E-2</v>
      </c>
      <c r="E77" s="141">
        <f t="shared" ref="E77" si="58">F77*C77</f>
        <v>0</v>
      </c>
      <c r="F77" s="26"/>
      <c r="G77" s="141"/>
      <c r="H77" s="26"/>
      <c r="I77" s="141"/>
      <c r="J77" s="26"/>
      <c r="K77" s="141"/>
      <c r="L77" s="26"/>
      <c r="M77" s="141">
        <f t="shared" si="40"/>
        <v>0</v>
      </c>
      <c r="N77" s="26"/>
      <c r="O77" s="141"/>
      <c r="P77" s="26"/>
      <c r="Q77" s="141">
        <f>(R77*C77)</f>
        <v>10578.644</v>
      </c>
      <c r="R77" s="26">
        <v>0.4</v>
      </c>
      <c r="S77" s="141">
        <f>(T77*C77)</f>
        <v>10578.644</v>
      </c>
      <c r="T77" s="26">
        <v>0.4</v>
      </c>
      <c r="U77" s="141">
        <f t="shared" si="44"/>
        <v>5289.32</v>
      </c>
      <c r="V77" s="26">
        <v>0.2</v>
      </c>
      <c r="W77" s="141">
        <f t="shared" si="45"/>
        <v>0</v>
      </c>
      <c r="X77" s="26"/>
      <c r="Y77" s="141"/>
      <c r="Z77" s="26"/>
      <c r="AA77" s="122">
        <f>(E77+G77+I77+K77+M77+O77+Q77+S77+U77+W77+Y77)</f>
        <v>26446.608</v>
      </c>
      <c r="AB77" s="176">
        <f t="shared" si="47"/>
        <v>1</v>
      </c>
      <c r="AC77" s="123">
        <f t="shared" si="48"/>
        <v>0.99799999999959255</v>
      </c>
    </row>
    <row r="78" spans="1:29" x14ac:dyDescent="0.2">
      <c r="A78" s="120" t="s">
        <v>183</v>
      </c>
      <c r="B78" s="175" t="str">
        <f>'Orçamento final pintura asfalto'!B125</f>
        <v>Execução de rampa em concreto armado</v>
      </c>
      <c r="C78" s="126">
        <f>'Orçamento final pintura asfalto'!G125</f>
        <v>6251.05</v>
      </c>
      <c r="D78" s="131">
        <f t="shared" si="55"/>
        <v>4.2484894484399018E-3</v>
      </c>
      <c r="E78" s="141">
        <f t="shared" si="57"/>
        <v>0</v>
      </c>
      <c r="F78" s="26"/>
      <c r="G78" s="141"/>
      <c r="H78" s="26"/>
      <c r="I78" s="141"/>
      <c r="J78" s="26"/>
      <c r="K78" s="141"/>
      <c r="L78" s="26"/>
      <c r="M78" s="141">
        <f t="shared" si="40"/>
        <v>0</v>
      </c>
      <c r="N78" s="26"/>
      <c r="O78" s="141"/>
      <c r="P78" s="26"/>
      <c r="Q78" s="141">
        <f t="shared" si="42"/>
        <v>2500.42</v>
      </c>
      <c r="R78" s="26">
        <v>0.4</v>
      </c>
      <c r="S78" s="141">
        <f t="shared" si="43"/>
        <v>2500.42</v>
      </c>
      <c r="T78" s="26">
        <v>0.4</v>
      </c>
      <c r="U78" s="141">
        <f t="shared" si="44"/>
        <v>1250.21</v>
      </c>
      <c r="V78" s="26">
        <v>0.2</v>
      </c>
      <c r="W78" s="141">
        <f t="shared" si="45"/>
        <v>0</v>
      </c>
      <c r="X78" s="26"/>
      <c r="Y78" s="141"/>
      <c r="Z78" s="26"/>
      <c r="AA78" s="122">
        <f t="shared" si="46"/>
        <v>6251.05</v>
      </c>
      <c r="AB78" s="176">
        <f t="shared" si="47"/>
        <v>1</v>
      </c>
      <c r="AC78" s="123">
        <f t="shared" si="48"/>
        <v>1</v>
      </c>
    </row>
    <row r="79" spans="1:29" s="137" customFormat="1" x14ac:dyDescent="0.2">
      <c r="A79" s="132" t="s">
        <v>184</v>
      </c>
      <c r="B79" s="132" t="str">
        <f>'Orçamento final pintura asfalto'!B127</f>
        <v>SINALIZAÇÃO</v>
      </c>
      <c r="C79" s="133">
        <f>SUM(C80:C87)</f>
        <v>88025.84</v>
      </c>
      <c r="D79" s="134">
        <f t="shared" si="55"/>
        <v>5.982624557955208E-2</v>
      </c>
      <c r="E79" s="135"/>
      <c r="F79" s="134"/>
      <c r="G79" s="136"/>
      <c r="H79" s="134"/>
      <c r="I79" s="136"/>
      <c r="J79" s="134"/>
      <c r="K79" s="135"/>
      <c r="L79" s="134"/>
      <c r="M79" s="177">
        <f t="shared" si="40"/>
        <v>0</v>
      </c>
      <c r="N79" s="134"/>
      <c r="O79" s="136"/>
      <c r="P79" s="134"/>
      <c r="Q79" s="177">
        <f t="shared" si="42"/>
        <v>0</v>
      </c>
      <c r="R79" s="134"/>
      <c r="S79" s="177">
        <f t="shared" si="43"/>
        <v>0</v>
      </c>
      <c r="T79" s="134"/>
      <c r="U79" s="177">
        <f t="shared" si="44"/>
        <v>0</v>
      </c>
      <c r="V79" s="134"/>
      <c r="W79" s="177">
        <f t="shared" si="45"/>
        <v>0</v>
      </c>
      <c r="X79" s="134"/>
      <c r="Y79" s="136"/>
      <c r="Z79" s="134"/>
      <c r="AA79" s="178">
        <f t="shared" si="46"/>
        <v>0</v>
      </c>
      <c r="AB79" s="179">
        <f t="shared" si="47"/>
        <v>0</v>
      </c>
      <c r="AC79" s="180">
        <f t="shared" si="48"/>
        <v>-88024.84</v>
      </c>
    </row>
    <row r="80" spans="1:29" x14ac:dyDescent="0.2">
      <c r="A80" s="120" t="s">
        <v>185</v>
      </c>
      <c r="B80" s="25" t="str">
        <f>'Orçamento final pintura asfalto'!B128</f>
        <v>Pintura a quente (eixo da via e faixas e setas)</v>
      </c>
      <c r="C80" s="126">
        <f>'Orçamento final pintura asfalto'!G128</f>
        <v>13839.33</v>
      </c>
      <c r="D80" s="131">
        <f t="shared" si="55"/>
        <v>9.4058194188940715E-3</v>
      </c>
      <c r="E80" s="141">
        <f>F80*C80</f>
        <v>0</v>
      </c>
      <c r="F80" s="26"/>
      <c r="G80" s="141"/>
      <c r="H80" s="26"/>
      <c r="I80" s="141"/>
      <c r="J80" s="26"/>
      <c r="K80" s="141"/>
      <c r="L80" s="26"/>
      <c r="M80" s="141">
        <f t="shared" si="40"/>
        <v>0</v>
      </c>
      <c r="N80" s="26"/>
      <c r="O80" s="141"/>
      <c r="P80" s="26"/>
      <c r="Q80" s="141">
        <f t="shared" si="42"/>
        <v>0</v>
      </c>
      <c r="R80" s="26"/>
      <c r="S80" s="141">
        <f t="shared" si="43"/>
        <v>0</v>
      </c>
      <c r="T80" s="26"/>
      <c r="U80" s="141">
        <f t="shared" si="44"/>
        <v>13839.33</v>
      </c>
      <c r="V80" s="26">
        <v>1</v>
      </c>
      <c r="W80" s="141">
        <f t="shared" si="45"/>
        <v>0</v>
      </c>
      <c r="X80" s="26"/>
      <c r="Y80" s="141"/>
      <c r="Z80" s="26"/>
      <c r="AA80" s="122">
        <f t="shared" si="46"/>
        <v>13839.33</v>
      </c>
      <c r="AB80" s="176">
        <f t="shared" si="47"/>
        <v>1</v>
      </c>
      <c r="AC80" s="123">
        <f t="shared" si="48"/>
        <v>1</v>
      </c>
    </row>
    <row r="81" spans="1:29" x14ac:dyDescent="0.2">
      <c r="A81" s="120" t="s">
        <v>186</v>
      </c>
      <c r="B81" s="25" t="str">
        <f>'Orçamento final pintura asfalto'!B129</f>
        <v>Pintura a frio (ciclovia e vagas de estacionamento)</v>
      </c>
      <c r="C81" s="126">
        <f>'Orçamento final pintura asfalto'!G129</f>
        <v>34694.620000000003</v>
      </c>
      <c r="D81" s="131">
        <f t="shared" si="55"/>
        <v>2.3579994878881468E-2</v>
      </c>
      <c r="E81" s="141">
        <f t="shared" ref="E81:E86" si="59">F81*C81</f>
        <v>0</v>
      </c>
      <c r="F81" s="26"/>
      <c r="G81" s="141"/>
      <c r="H81" s="26"/>
      <c r="I81" s="141"/>
      <c r="J81" s="26"/>
      <c r="K81" s="141"/>
      <c r="L81" s="26"/>
      <c r="M81" s="141">
        <f t="shared" si="40"/>
        <v>0</v>
      </c>
      <c r="N81" s="26"/>
      <c r="O81" s="141"/>
      <c r="P81" s="26"/>
      <c r="Q81" s="141">
        <f t="shared" si="42"/>
        <v>0</v>
      </c>
      <c r="R81" s="26"/>
      <c r="S81" s="141">
        <f t="shared" si="43"/>
        <v>0</v>
      </c>
      <c r="T81" s="26"/>
      <c r="U81" s="141">
        <f t="shared" si="44"/>
        <v>34694.620000000003</v>
      </c>
      <c r="V81" s="26">
        <v>1</v>
      </c>
      <c r="W81" s="141">
        <f t="shared" si="45"/>
        <v>0</v>
      </c>
      <c r="X81" s="26"/>
      <c r="Y81" s="141"/>
      <c r="Z81" s="26"/>
      <c r="AA81" s="122">
        <f t="shared" si="46"/>
        <v>34694.620000000003</v>
      </c>
      <c r="AB81" s="176">
        <f t="shared" si="47"/>
        <v>1</v>
      </c>
      <c r="AC81" s="123">
        <f t="shared" si="48"/>
        <v>1</v>
      </c>
    </row>
    <row r="82" spans="1:29" x14ac:dyDescent="0.2">
      <c r="A82" s="120" t="s">
        <v>187</v>
      </c>
      <c r="B82" s="25" t="str">
        <f>'Orçamento final pintura asfalto'!B130</f>
        <v>Tachão bidirecional</v>
      </c>
      <c r="C82" s="126">
        <f>'Orçamento final pintura asfalto'!G130</f>
        <v>4235.51</v>
      </c>
      <c r="D82" s="131">
        <f t="shared" si="55"/>
        <v>2.8786395155632558E-3</v>
      </c>
      <c r="E82" s="141">
        <f t="shared" si="59"/>
        <v>0</v>
      </c>
      <c r="F82" s="26"/>
      <c r="G82" s="141"/>
      <c r="H82" s="26"/>
      <c r="I82" s="141"/>
      <c r="J82" s="26"/>
      <c r="K82" s="141"/>
      <c r="L82" s="26"/>
      <c r="M82" s="141">
        <f t="shared" si="40"/>
        <v>0</v>
      </c>
      <c r="N82" s="26"/>
      <c r="O82" s="141"/>
      <c r="P82" s="26"/>
      <c r="Q82" s="141">
        <f t="shared" si="42"/>
        <v>0</v>
      </c>
      <c r="R82" s="26"/>
      <c r="S82" s="141">
        <f t="shared" si="43"/>
        <v>0</v>
      </c>
      <c r="T82" s="26"/>
      <c r="U82" s="141">
        <f t="shared" si="44"/>
        <v>4235.51</v>
      </c>
      <c r="V82" s="26">
        <v>1</v>
      </c>
      <c r="W82" s="141">
        <f t="shared" si="45"/>
        <v>0</v>
      </c>
      <c r="X82" s="26"/>
      <c r="Y82" s="141"/>
      <c r="Z82" s="26"/>
      <c r="AA82" s="122">
        <f t="shared" si="46"/>
        <v>4235.51</v>
      </c>
      <c r="AB82" s="176">
        <f t="shared" si="47"/>
        <v>1</v>
      </c>
      <c r="AC82" s="123">
        <f t="shared" si="48"/>
        <v>1</v>
      </c>
    </row>
    <row r="83" spans="1:29" x14ac:dyDescent="0.2">
      <c r="A83" s="120" t="s">
        <v>188</v>
      </c>
      <c r="B83" s="25" t="str">
        <f>'Orçamento final pintura asfalto'!B131</f>
        <v>Tachão monodirecional</v>
      </c>
      <c r="C83" s="126">
        <f>'Orçamento final pintura asfalto'!G131</f>
        <v>13144.2</v>
      </c>
      <c r="D83" s="131">
        <f t="shared" si="55"/>
        <v>8.9333783937392535E-3</v>
      </c>
      <c r="E83" s="141">
        <f t="shared" si="59"/>
        <v>0</v>
      </c>
      <c r="F83" s="26"/>
      <c r="G83" s="141"/>
      <c r="H83" s="26"/>
      <c r="I83" s="141"/>
      <c r="J83" s="26"/>
      <c r="K83" s="141"/>
      <c r="L83" s="26"/>
      <c r="M83" s="141">
        <f t="shared" si="40"/>
        <v>0</v>
      </c>
      <c r="N83" s="26"/>
      <c r="O83" s="141"/>
      <c r="P83" s="26"/>
      <c r="Q83" s="141">
        <f t="shared" si="42"/>
        <v>0</v>
      </c>
      <c r="R83" s="26"/>
      <c r="S83" s="141">
        <f t="shared" si="43"/>
        <v>0</v>
      </c>
      <c r="T83" s="26"/>
      <c r="U83" s="141">
        <f t="shared" si="44"/>
        <v>13144.2</v>
      </c>
      <c r="V83" s="26">
        <v>1</v>
      </c>
      <c r="W83" s="141">
        <f t="shared" si="45"/>
        <v>0</v>
      </c>
      <c r="X83" s="26"/>
      <c r="Y83" s="141"/>
      <c r="Z83" s="26"/>
      <c r="AA83" s="122">
        <f t="shared" si="46"/>
        <v>13144.2</v>
      </c>
      <c r="AB83" s="176">
        <f t="shared" si="47"/>
        <v>1</v>
      </c>
      <c r="AC83" s="123">
        <f t="shared" si="48"/>
        <v>1</v>
      </c>
    </row>
    <row r="84" spans="1:29" x14ac:dyDescent="0.2">
      <c r="A84" s="120" t="s">
        <v>189</v>
      </c>
      <c r="B84" s="25" t="str">
        <f>'Orçamento final pintura asfalto'!B132</f>
        <v>Tacha bidirecional</v>
      </c>
      <c r="C84" s="126">
        <f>'Orçamento final pintura asfalto'!G132</f>
        <v>2910.48</v>
      </c>
      <c r="D84" s="131">
        <f t="shared" si="55"/>
        <v>1.9780906519537302E-3</v>
      </c>
      <c r="E84" s="141">
        <f t="shared" ref="E84" si="60">F84*C84</f>
        <v>0</v>
      </c>
      <c r="F84" s="26"/>
      <c r="G84" s="141"/>
      <c r="H84" s="26"/>
      <c r="I84" s="141"/>
      <c r="J84" s="26"/>
      <c r="K84" s="141"/>
      <c r="L84" s="26"/>
      <c r="M84" s="141">
        <f t="shared" si="40"/>
        <v>0</v>
      </c>
      <c r="N84" s="26"/>
      <c r="O84" s="141"/>
      <c r="P84" s="26"/>
      <c r="Q84" s="141">
        <f t="shared" si="42"/>
        <v>0</v>
      </c>
      <c r="R84" s="26"/>
      <c r="S84" s="141">
        <f t="shared" ref="S84" si="61">T84*C84</f>
        <v>0</v>
      </c>
      <c r="T84" s="26"/>
      <c r="U84" s="141">
        <f t="shared" si="44"/>
        <v>2910.48</v>
      </c>
      <c r="V84" s="26">
        <v>1</v>
      </c>
      <c r="W84" s="141">
        <f t="shared" si="45"/>
        <v>0</v>
      </c>
      <c r="X84" s="26"/>
      <c r="Y84" s="141"/>
      <c r="Z84" s="26"/>
      <c r="AA84" s="122">
        <f t="shared" si="46"/>
        <v>2910.48</v>
      </c>
      <c r="AB84" s="176">
        <f t="shared" si="47"/>
        <v>1</v>
      </c>
      <c r="AC84" s="123">
        <f t="shared" si="48"/>
        <v>1</v>
      </c>
    </row>
    <row r="85" spans="1:29" x14ac:dyDescent="0.2">
      <c r="A85" s="120" t="s">
        <v>190</v>
      </c>
      <c r="B85" s="25" t="str">
        <f>'Orçamento final pintura asfalto'!B133</f>
        <v>Tacha monodirecional</v>
      </c>
      <c r="C85" s="126">
        <f>'Orçamento final pintura asfalto'!G133</f>
        <v>975.84</v>
      </c>
      <c r="D85" s="131">
        <f t="shared" si="55"/>
        <v>6.6322392931836955E-4</v>
      </c>
      <c r="E85" s="141">
        <f t="shared" si="59"/>
        <v>0</v>
      </c>
      <c r="F85" s="26"/>
      <c r="G85" s="141"/>
      <c r="H85" s="26"/>
      <c r="I85" s="141"/>
      <c r="J85" s="26"/>
      <c r="K85" s="141"/>
      <c r="L85" s="26"/>
      <c r="M85" s="141">
        <f t="shared" si="40"/>
        <v>0</v>
      </c>
      <c r="N85" s="26"/>
      <c r="O85" s="141"/>
      <c r="P85" s="26"/>
      <c r="Q85" s="141">
        <f t="shared" si="42"/>
        <v>0</v>
      </c>
      <c r="R85" s="26"/>
      <c r="S85" s="141">
        <f t="shared" ref="S85:S87" si="62">T85*C85</f>
        <v>0</v>
      </c>
      <c r="T85" s="26"/>
      <c r="U85" s="141">
        <f t="shared" si="44"/>
        <v>975.84</v>
      </c>
      <c r="V85" s="26">
        <v>1</v>
      </c>
      <c r="W85" s="141">
        <f t="shared" si="45"/>
        <v>0</v>
      </c>
      <c r="X85" s="26"/>
      <c r="Y85" s="141"/>
      <c r="Z85" s="26"/>
      <c r="AA85" s="122">
        <f t="shared" si="46"/>
        <v>975.84</v>
      </c>
      <c r="AB85" s="176">
        <f t="shared" si="47"/>
        <v>1</v>
      </c>
      <c r="AC85" s="123">
        <f t="shared" si="48"/>
        <v>1</v>
      </c>
    </row>
    <row r="86" spans="1:29" x14ac:dyDescent="0.2">
      <c r="A86" s="120" t="s">
        <v>263</v>
      </c>
      <c r="B86" s="25" t="str">
        <f>'Orçamento final pintura asfalto'!B134</f>
        <v>Fornecimento e implantação de balizador metálico</v>
      </c>
      <c r="C86" s="126">
        <f>'Orçamento final pintura asfalto'!G134</f>
        <v>1748.04</v>
      </c>
      <c r="D86" s="131">
        <f t="shared" si="55"/>
        <v>1.1880451276906896E-3</v>
      </c>
      <c r="E86" s="141">
        <f t="shared" si="59"/>
        <v>0</v>
      </c>
      <c r="F86" s="26"/>
      <c r="G86" s="141"/>
      <c r="H86" s="26"/>
      <c r="I86" s="141"/>
      <c r="J86" s="26"/>
      <c r="K86" s="141"/>
      <c r="L86" s="26"/>
      <c r="M86" s="141">
        <f t="shared" si="40"/>
        <v>0</v>
      </c>
      <c r="N86" s="26"/>
      <c r="O86" s="141"/>
      <c r="P86" s="26"/>
      <c r="Q86" s="141">
        <f t="shared" si="42"/>
        <v>0</v>
      </c>
      <c r="R86" s="26"/>
      <c r="S86" s="141">
        <f t="shared" ref="S86" si="63">T86*C86</f>
        <v>0</v>
      </c>
      <c r="T86" s="26"/>
      <c r="U86" s="141">
        <f t="shared" si="44"/>
        <v>1748.04</v>
      </c>
      <c r="V86" s="26">
        <v>1</v>
      </c>
      <c r="W86" s="141">
        <f t="shared" si="45"/>
        <v>0</v>
      </c>
      <c r="X86" s="26"/>
      <c r="Y86" s="141"/>
      <c r="Z86" s="26"/>
      <c r="AA86" s="122">
        <f t="shared" si="46"/>
        <v>1748.04</v>
      </c>
      <c r="AB86" s="176">
        <f t="shared" si="47"/>
        <v>1</v>
      </c>
      <c r="AC86" s="123">
        <f t="shared" si="48"/>
        <v>1</v>
      </c>
    </row>
    <row r="87" spans="1:29" x14ac:dyDescent="0.2">
      <c r="A87" s="120" t="s">
        <v>263</v>
      </c>
      <c r="B87" s="25" t="str">
        <f>'Orçamento final pintura asfalto'!B135</f>
        <v>Segregador</v>
      </c>
      <c r="C87" s="126">
        <f>'Orçamento final pintura asfalto'!G135</f>
        <v>16477.82</v>
      </c>
      <c r="D87" s="131">
        <f t="shared" si="55"/>
        <v>1.1199053663511246E-2</v>
      </c>
      <c r="E87" s="141">
        <f t="shared" ref="E87" si="64">F87*C87</f>
        <v>0</v>
      </c>
      <c r="F87" s="26"/>
      <c r="G87" s="141"/>
      <c r="H87" s="26"/>
      <c r="I87" s="141"/>
      <c r="J87" s="26"/>
      <c r="K87" s="141"/>
      <c r="L87" s="26"/>
      <c r="M87" s="141">
        <f t="shared" si="40"/>
        <v>0</v>
      </c>
      <c r="N87" s="26"/>
      <c r="O87" s="141"/>
      <c r="P87" s="26"/>
      <c r="Q87" s="141">
        <f t="shared" si="42"/>
        <v>0</v>
      </c>
      <c r="R87" s="26"/>
      <c r="S87" s="141">
        <f t="shared" si="62"/>
        <v>0</v>
      </c>
      <c r="T87" s="26"/>
      <c r="U87" s="141">
        <f t="shared" si="44"/>
        <v>16477.82</v>
      </c>
      <c r="V87" s="26">
        <v>1</v>
      </c>
      <c r="W87" s="141">
        <f t="shared" si="45"/>
        <v>0</v>
      </c>
      <c r="X87" s="26"/>
      <c r="Y87" s="141"/>
      <c r="Z87" s="26"/>
      <c r="AA87" s="122">
        <f t="shared" si="46"/>
        <v>16477.82</v>
      </c>
      <c r="AB87" s="176">
        <f t="shared" si="47"/>
        <v>1</v>
      </c>
      <c r="AC87" s="123">
        <f t="shared" si="48"/>
        <v>1</v>
      </c>
    </row>
    <row r="88" spans="1:29" s="6" customFormat="1" x14ac:dyDescent="0.2">
      <c r="A88" s="28"/>
      <c r="B88" s="28" t="s">
        <v>37</v>
      </c>
      <c r="C88" s="129">
        <f>C79+C72+C70+C66</f>
        <v>1471358.2500000002</v>
      </c>
      <c r="D88" s="29">
        <f>C88/C108</f>
        <v>0.34023283625610479</v>
      </c>
      <c r="E88" s="121"/>
      <c r="F88" s="28"/>
      <c r="G88" s="30"/>
      <c r="H88" s="29"/>
      <c r="I88" s="30"/>
      <c r="J88" s="29"/>
      <c r="K88" s="141"/>
      <c r="L88" s="28"/>
      <c r="M88" s="141">
        <f t="shared" si="40"/>
        <v>0</v>
      </c>
      <c r="N88" s="29"/>
      <c r="O88" s="30"/>
      <c r="P88" s="29"/>
      <c r="Q88" s="141">
        <f t="shared" si="42"/>
        <v>0</v>
      </c>
      <c r="R88" s="28"/>
      <c r="S88" s="30"/>
      <c r="T88" s="29"/>
      <c r="U88" s="141">
        <f t="shared" si="44"/>
        <v>0</v>
      </c>
      <c r="V88" s="29"/>
      <c r="W88" s="141">
        <f t="shared" si="45"/>
        <v>0</v>
      </c>
      <c r="X88" s="29"/>
      <c r="Y88" s="30"/>
      <c r="Z88" s="29"/>
      <c r="AA88" s="122">
        <f t="shared" si="46"/>
        <v>0</v>
      </c>
      <c r="AB88" s="176">
        <f t="shared" si="47"/>
        <v>0</v>
      </c>
      <c r="AC88" s="123">
        <f t="shared" si="48"/>
        <v>-1471357.2500000002</v>
      </c>
    </row>
    <row r="89" spans="1:29" s="137" customFormat="1" x14ac:dyDescent="0.2">
      <c r="A89" s="132"/>
      <c r="B89" s="132" t="s">
        <v>120</v>
      </c>
      <c r="C89" s="133"/>
      <c r="D89" s="134"/>
      <c r="E89" s="135"/>
      <c r="F89" s="134"/>
      <c r="G89" s="136"/>
      <c r="H89" s="134"/>
      <c r="I89" s="136"/>
      <c r="J89" s="134"/>
      <c r="K89" s="135"/>
      <c r="L89" s="134"/>
      <c r="M89" s="177">
        <f t="shared" si="40"/>
        <v>0</v>
      </c>
      <c r="N89" s="134"/>
      <c r="O89" s="136"/>
      <c r="P89" s="134"/>
      <c r="Q89" s="177">
        <f t="shared" si="42"/>
        <v>0</v>
      </c>
      <c r="R89" s="134"/>
      <c r="S89" s="136"/>
      <c r="T89" s="134"/>
      <c r="U89" s="177">
        <f t="shared" si="44"/>
        <v>0</v>
      </c>
      <c r="V89" s="134"/>
      <c r="W89" s="177">
        <f t="shared" si="45"/>
        <v>0</v>
      </c>
      <c r="X89" s="134"/>
      <c r="Y89" s="136"/>
      <c r="Z89" s="134"/>
      <c r="AA89" s="178">
        <f t="shared" si="46"/>
        <v>0</v>
      </c>
      <c r="AB89" s="179">
        <f t="shared" si="47"/>
        <v>0</v>
      </c>
      <c r="AC89" s="180">
        <f t="shared" si="48"/>
        <v>1</v>
      </c>
    </row>
    <row r="90" spans="1:29" s="137" customFormat="1" x14ac:dyDescent="0.2">
      <c r="A90" s="132" t="s">
        <v>191</v>
      </c>
      <c r="B90" s="132" t="str">
        <f>'Orçamento final pintura asfalto'!B142</f>
        <v>SERVIÇOS INICIAIS</v>
      </c>
      <c r="C90" s="133">
        <f>SUM(C91:C93)</f>
        <v>6564.6600000000008</v>
      </c>
      <c r="D90" s="134">
        <f>C90/$C$88</f>
        <v>4.4616326445309972E-3</v>
      </c>
      <c r="E90" s="135">
        <f>F90*C90</f>
        <v>0</v>
      </c>
      <c r="F90" s="134"/>
      <c r="G90" s="136">
        <f>H90*C90</f>
        <v>0</v>
      </c>
      <c r="H90" s="134"/>
      <c r="I90" s="136">
        <f>J90*C90</f>
        <v>0</v>
      </c>
      <c r="J90" s="134"/>
      <c r="K90" s="135">
        <f>L90*I90</f>
        <v>0</v>
      </c>
      <c r="L90" s="134"/>
      <c r="M90" s="177">
        <f t="shared" si="40"/>
        <v>0</v>
      </c>
      <c r="N90" s="134"/>
      <c r="O90" s="136">
        <f>P90*I90</f>
        <v>0</v>
      </c>
      <c r="P90" s="134"/>
      <c r="Q90" s="177">
        <f t="shared" si="42"/>
        <v>0</v>
      </c>
      <c r="R90" s="134"/>
      <c r="S90" s="136">
        <f>T90*O90</f>
        <v>0</v>
      </c>
      <c r="T90" s="134"/>
      <c r="U90" s="177">
        <f t="shared" si="44"/>
        <v>0</v>
      </c>
      <c r="V90" s="134"/>
      <c r="W90" s="177">
        <f t="shared" si="45"/>
        <v>0</v>
      </c>
      <c r="X90" s="134"/>
      <c r="Y90" s="136">
        <f>Z90*S90</f>
        <v>0</v>
      </c>
      <c r="Z90" s="134"/>
      <c r="AA90" s="178">
        <f t="shared" si="46"/>
        <v>0</v>
      </c>
      <c r="AB90" s="179">
        <f t="shared" si="47"/>
        <v>0</v>
      </c>
      <c r="AC90" s="180">
        <f t="shared" si="48"/>
        <v>-6563.6600000000008</v>
      </c>
    </row>
    <row r="91" spans="1:29" x14ac:dyDescent="0.2">
      <c r="A91" s="120" t="s">
        <v>192</v>
      </c>
      <c r="B91" s="175" t="str">
        <f>'Orçamento final pintura asfalto'!B143</f>
        <v>Placa de Obra, conforme padrão da Caixa (tamanho mínimo 2,00mx1,25m)</v>
      </c>
      <c r="C91" s="126">
        <f>'Orçamento final pintura asfalto'!G143</f>
        <v>923.05</v>
      </c>
      <c r="D91" s="131">
        <f>C91/$C$88</f>
        <v>6.2734551561456891E-4</v>
      </c>
      <c r="E91" s="141">
        <f t="shared" ref="E91:E93" si="65">F91*C91</f>
        <v>0</v>
      </c>
      <c r="F91" s="26"/>
      <c r="G91" s="141"/>
      <c r="H91" s="26"/>
      <c r="I91" s="27"/>
      <c r="J91" s="26"/>
      <c r="K91" s="141"/>
      <c r="L91" s="26"/>
      <c r="M91" s="141"/>
      <c r="N91" s="26"/>
      <c r="O91" s="141"/>
      <c r="P91" s="26"/>
      <c r="Q91" s="141">
        <f t="shared" si="42"/>
        <v>0</v>
      </c>
      <c r="R91" s="26"/>
      <c r="S91" s="141"/>
      <c r="T91" s="26"/>
      <c r="U91" s="141"/>
      <c r="V91" s="26"/>
      <c r="W91" s="141">
        <f t="shared" si="45"/>
        <v>923.05</v>
      </c>
      <c r="X91" s="26">
        <v>1</v>
      </c>
      <c r="Y91" s="141">
        <f>Z91*C91</f>
        <v>0</v>
      </c>
      <c r="Z91" s="26"/>
      <c r="AA91" s="122">
        <f t="shared" si="46"/>
        <v>923.05</v>
      </c>
      <c r="AB91" s="176">
        <f t="shared" si="47"/>
        <v>1</v>
      </c>
      <c r="AC91" s="123">
        <f t="shared" si="48"/>
        <v>1</v>
      </c>
    </row>
    <row r="92" spans="1:29" x14ac:dyDescent="0.2">
      <c r="A92" s="120" t="s">
        <v>193</v>
      </c>
      <c r="B92" s="175" t="str">
        <f>'Orçamento final pintura asfalto'!B144</f>
        <v>Locação da obra com uso de equipamentos topográficos, inclusive topógrafo e nivelador</v>
      </c>
      <c r="C92" s="126">
        <f>'Orçamento final pintura asfalto'!G144</f>
        <v>5129.6400000000003</v>
      </c>
      <c r="D92" s="131">
        <f t="shared" ref="D92" si="66">C92/$C$88</f>
        <v>3.4863297228937954E-3</v>
      </c>
      <c r="E92" s="141">
        <f t="shared" si="65"/>
        <v>0</v>
      </c>
      <c r="F92" s="26"/>
      <c r="G92" s="141"/>
      <c r="H92" s="26"/>
      <c r="I92" s="27"/>
      <c r="J92" s="26"/>
      <c r="K92" s="141"/>
      <c r="L92" s="26"/>
      <c r="M92" s="141"/>
      <c r="N92" s="26"/>
      <c r="O92" s="141"/>
      <c r="P92" s="26"/>
      <c r="Q92" s="141">
        <f t="shared" si="42"/>
        <v>0</v>
      </c>
      <c r="R92" s="26"/>
      <c r="S92" s="141"/>
      <c r="T92" s="26"/>
      <c r="U92" s="141"/>
      <c r="V92" s="26"/>
      <c r="W92" s="141">
        <f t="shared" si="45"/>
        <v>5129.6400000000003</v>
      </c>
      <c r="X92" s="26">
        <v>1</v>
      </c>
      <c r="Y92" s="141">
        <f t="shared" ref="Y92:Y93" si="67">Z92*C92</f>
        <v>0</v>
      </c>
      <c r="Z92" s="26"/>
      <c r="AA92" s="122">
        <f t="shared" si="46"/>
        <v>5129.6400000000003</v>
      </c>
      <c r="AB92" s="176">
        <f t="shared" si="47"/>
        <v>1</v>
      </c>
      <c r="AC92" s="123">
        <f t="shared" si="48"/>
        <v>1</v>
      </c>
    </row>
    <row r="93" spans="1:29" x14ac:dyDescent="0.2">
      <c r="A93" s="120" t="s">
        <v>194</v>
      </c>
      <c r="B93" s="175" t="str">
        <f>'Orçamento final pintura asfalto'!B145</f>
        <v>Caminhão pipa 10.000 l trucado, peso bruto total 23.000 kg, carga útil máxima 15.935 kg, distância entre eixos 4,8 m, potência 230 cv, inclusive tanque de aço para transporte de água (lavar paralelipípedo)</v>
      </c>
      <c r="C93" s="126">
        <f>'Orçamento final pintura asfalto'!G145</f>
        <v>511.97</v>
      </c>
      <c r="D93" s="131">
        <f t="shared" ref="D93:D98" si="68">C93/$C$88</f>
        <v>3.4795740602263243E-4</v>
      </c>
      <c r="E93" s="141">
        <f t="shared" si="65"/>
        <v>0</v>
      </c>
      <c r="F93" s="26"/>
      <c r="G93" s="141"/>
      <c r="H93" s="26"/>
      <c r="I93" s="27"/>
      <c r="J93" s="26"/>
      <c r="K93" s="141"/>
      <c r="L93" s="26"/>
      <c r="M93" s="141"/>
      <c r="N93" s="26"/>
      <c r="O93" s="141"/>
      <c r="P93" s="26"/>
      <c r="Q93" s="141"/>
      <c r="R93" s="26"/>
      <c r="S93" s="141"/>
      <c r="T93" s="26"/>
      <c r="U93" s="141"/>
      <c r="V93" s="26"/>
      <c r="W93" s="141">
        <f t="shared" si="45"/>
        <v>511.97</v>
      </c>
      <c r="X93" s="26">
        <v>1</v>
      </c>
      <c r="Y93" s="141">
        <f t="shared" si="67"/>
        <v>0</v>
      </c>
      <c r="Z93" s="26"/>
      <c r="AA93" s="122">
        <f t="shared" si="46"/>
        <v>511.97</v>
      </c>
      <c r="AB93" s="176">
        <f t="shared" si="47"/>
        <v>1</v>
      </c>
      <c r="AC93" s="123">
        <f t="shared" si="48"/>
        <v>1</v>
      </c>
    </row>
    <row r="94" spans="1:29" s="137" customFormat="1" x14ac:dyDescent="0.2">
      <c r="A94" s="132" t="s">
        <v>195</v>
      </c>
      <c r="B94" s="132" t="str">
        <f>'Orçamento final pintura asfalto'!B147</f>
        <v>DRENAGEM</v>
      </c>
      <c r="C94" s="133">
        <f>C95</f>
        <v>1051.83</v>
      </c>
      <c r="D94" s="134">
        <f t="shared" si="68"/>
        <v>7.1487008687381179E-4</v>
      </c>
      <c r="E94" s="135"/>
      <c r="F94" s="134"/>
      <c r="G94" s="136"/>
      <c r="H94" s="134"/>
      <c r="I94" s="136"/>
      <c r="J94" s="134"/>
      <c r="K94" s="135"/>
      <c r="L94" s="134"/>
      <c r="M94" s="136"/>
      <c r="N94" s="134"/>
      <c r="O94" s="136"/>
      <c r="P94" s="134"/>
      <c r="Q94" s="135"/>
      <c r="R94" s="134"/>
      <c r="S94" s="136"/>
      <c r="T94" s="134"/>
      <c r="U94" s="136"/>
      <c r="V94" s="134"/>
      <c r="W94" s="177">
        <f t="shared" si="45"/>
        <v>0</v>
      </c>
      <c r="X94" s="134"/>
      <c r="Y94" s="136"/>
      <c r="Z94" s="134"/>
      <c r="AA94" s="178">
        <f t="shared" si="46"/>
        <v>0</v>
      </c>
      <c r="AB94" s="179">
        <f t="shared" si="47"/>
        <v>0</v>
      </c>
      <c r="AC94" s="180">
        <f t="shared" si="48"/>
        <v>-1050.83</v>
      </c>
    </row>
    <row r="95" spans="1:29" s="143" customFormat="1" x14ac:dyDescent="0.2">
      <c r="A95" s="138" t="s">
        <v>196</v>
      </c>
      <c r="B95" s="175" t="str">
        <f>'Orçamento final pintura asfalto'!B148</f>
        <v>Alteamento das caixas de captação existente</v>
      </c>
      <c r="C95" s="139">
        <f>'Orçamento final pintura asfalto'!G148</f>
        <v>1051.83</v>
      </c>
      <c r="D95" s="131">
        <f t="shared" si="68"/>
        <v>7.1487008687381179E-4</v>
      </c>
      <c r="E95" s="141">
        <f t="shared" ref="E95" si="69">F95*C95</f>
        <v>0</v>
      </c>
      <c r="F95" s="140"/>
      <c r="G95" s="141"/>
      <c r="H95" s="140"/>
      <c r="I95" s="141"/>
      <c r="J95" s="140"/>
      <c r="K95" s="141"/>
      <c r="L95" s="140"/>
      <c r="M95" s="141"/>
      <c r="N95" s="140"/>
      <c r="O95" s="141"/>
      <c r="P95" s="140"/>
      <c r="Q95" s="141"/>
      <c r="R95" s="140"/>
      <c r="S95" s="141"/>
      <c r="T95" s="140"/>
      <c r="U95" s="141"/>
      <c r="V95" s="140"/>
      <c r="W95" s="141">
        <f t="shared" si="45"/>
        <v>0</v>
      </c>
      <c r="X95" s="140"/>
      <c r="Y95" s="141">
        <f>Z95*C95</f>
        <v>1051.83</v>
      </c>
      <c r="Z95" s="140">
        <v>1</v>
      </c>
      <c r="AA95" s="122">
        <f t="shared" si="46"/>
        <v>1051.83</v>
      </c>
      <c r="AB95" s="176">
        <f t="shared" si="47"/>
        <v>1</v>
      </c>
      <c r="AC95" s="123">
        <f t="shared" si="48"/>
        <v>1</v>
      </c>
    </row>
    <row r="96" spans="1:29" s="137" customFormat="1" x14ac:dyDescent="0.2">
      <c r="A96" s="132" t="s">
        <v>197</v>
      </c>
      <c r="B96" s="132" t="str">
        <f>'Orçamento final pintura asfalto'!B150</f>
        <v>PAVIMENTAÇÃO</v>
      </c>
      <c r="C96" s="133">
        <f>SUM(C97:C100)</f>
        <v>827569.53</v>
      </c>
      <c r="D96" s="134">
        <f t="shared" si="68"/>
        <v>0.56245277450274256</v>
      </c>
      <c r="E96" s="135"/>
      <c r="F96" s="134"/>
      <c r="G96" s="136"/>
      <c r="H96" s="134"/>
      <c r="I96" s="136"/>
      <c r="J96" s="134"/>
      <c r="K96" s="135"/>
      <c r="L96" s="134"/>
      <c r="M96" s="136"/>
      <c r="N96" s="134"/>
      <c r="O96" s="136"/>
      <c r="P96" s="134"/>
      <c r="Q96" s="135"/>
      <c r="R96" s="134"/>
      <c r="S96" s="136"/>
      <c r="T96" s="134"/>
      <c r="U96" s="136"/>
      <c r="V96" s="134"/>
      <c r="W96" s="177">
        <f t="shared" si="45"/>
        <v>0</v>
      </c>
      <c r="X96" s="134"/>
      <c r="Y96" s="136"/>
      <c r="Z96" s="134"/>
      <c r="AA96" s="178">
        <f t="shared" si="46"/>
        <v>0</v>
      </c>
      <c r="AB96" s="179">
        <f t="shared" si="47"/>
        <v>0</v>
      </c>
      <c r="AC96" s="180">
        <f t="shared" si="48"/>
        <v>-827568.53</v>
      </c>
    </row>
    <row r="97" spans="1:29" x14ac:dyDescent="0.2">
      <c r="A97" s="120" t="s">
        <v>198</v>
      </c>
      <c r="B97" s="175" t="str">
        <f>'Orçamento final pintura asfalto'!B151</f>
        <v>Recuperação de camadas abaixo do pavimentação existente</v>
      </c>
      <c r="C97" s="126">
        <f>'Orçamento final pintura asfalto'!G151</f>
        <v>10979.92</v>
      </c>
      <c r="D97" s="131">
        <f t="shared" si="68"/>
        <v>7.4624381927378995E-3</v>
      </c>
      <c r="E97" s="141">
        <f t="shared" ref="E97:E100" si="70">F97*C97</f>
        <v>0</v>
      </c>
      <c r="F97" s="26"/>
      <c r="G97" s="141"/>
      <c r="H97" s="26"/>
      <c r="I97" s="141"/>
      <c r="J97" s="26"/>
      <c r="K97" s="141"/>
      <c r="L97" s="26"/>
      <c r="M97" s="141"/>
      <c r="N97" s="26"/>
      <c r="O97" s="141"/>
      <c r="P97" s="26"/>
      <c r="Q97" s="141"/>
      <c r="R97" s="26"/>
      <c r="S97" s="141"/>
      <c r="T97" s="26"/>
      <c r="U97" s="141"/>
      <c r="V97" s="26"/>
      <c r="W97" s="141">
        <f t="shared" si="45"/>
        <v>1097.99</v>
      </c>
      <c r="X97" s="26">
        <v>0.1</v>
      </c>
      <c r="Y97" s="141">
        <f>Z97*C97</f>
        <v>9881.9279999999999</v>
      </c>
      <c r="Z97" s="26">
        <v>0.9</v>
      </c>
      <c r="AA97" s="122">
        <f t="shared" si="46"/>
        <v>10979.92</v>
      </c>
      <c r="AB97" s="176">
        <f t="shared" si="47"/>
        <v>1</v>
      </c>
      <c r="AC97" s="123">
        <f t="shared" si="48"/>
        <v>1</v>
      </c>
    </row>
    <row r="98" spans="1:29" x14ac:dyDescent="0.2">
      <c r="A98" s="120" t="s">
        <v>199</v>
      </c>
      <c r="B98" s="175" t="str">
        <f>'Orçamento final pintura asfalto'!B152</f>
        <v>Pintura de ligação RR - 2C</v>
      </c>
      <c r="C98" s="126">
        <f>'Orçamento final pintura asfalto'!G152</f>
        <v>19892.98</v>
      </c>
      <c r="D98" s="131">
        <f t="shared" si="68"/>
        <v>1.352014711576871E-2</v>
      </c>
      <c r="E98" s="141">
        <f t="shared" si="70"/>
        <v>0</v>
      </c>
      <c r="F98" s="26"/>
      <c r="G98" s="141"/>
      <c r="H98" s="26"/>
      <c r="I98" s="141"/>
      <c r="J98" s="26"/>
      <c r="K98" s="141"/>
      <c r="L98" s="26"/>
      <c r="M98" s="141"/>
      <c r="N98" s="26"/>
      <c r="O98" s="141"/>
      <c r="P98" s="26"/>
      <c r="Q98" s="141"/>
      <c r="R98" s="26"/>
      <c r="S98" s="141"/>
      <c r="T98" s="26"/>
      <c r="U98" s="141"/>
      <c r="V98" s="26"/>
      <c r="W98" s="141">
        <f t="shared" si="45"/>
        <v>1989.3</v>
      </c>
      <c r="X98" s="26">
        <v>0.1</v>
      </c>
      <c r="Y98" s="141">
        <f t="shared" ref="Y98:Y100" si="71">Z98*C98</f>
        <v>17903.682000000001</v>
      </c>
      <c r="Z98" s="26">
        <v>0.9</v>
      </c>
      <c r="AA98" s="122">
        <f t="shared" si="46"/>
        <v>19892.98</v>
      </c>
      <c r="AB98" s="176">
        <f t="shared" si="47"/>
        <v>1</v>
      </c>
      <c r="AC98" s="123">
        <f t="shared" si="48"/>
        <v>1</v>
      </c>
    </row>
    <row r="99" spans="1:29" x14ac:dyDescent="0.2">
      <c r="A99" s="120" t="s">
        <v>200</v>
      </c>
      <c r="B99" s="175" t="str">
        <f>'Orçamento final pintura asfalto'!B153</f>
        <v>Camada de revestimento c/ C.B.U.Q., Faixa ''C'' , e = 7,5 cm "compactado"</v>
      </c>
      <c r="C99" s="126">
        <f>'Orçamento final pintura asfalto'!G153</f>
        <v>769615.9</v>
      </c>
      <c r="D99" s="131">
        <f t="shared" ref="D99:D100" si="72">C99/$C$88</f>
        <v>0.52306492997201726</v>
      </c>
      <c r="E99" s="141">
        <f t="shared" si="70"/>
        <v>0</v>
      </c>
      <c r="F99" s="26"/>
      <c r="G99" s="141"/>
      <c r="H99" s="26"/>
      <c r="I99" s="141"/>
      <c r="J99" s="26"/>
      <c r="K99" s="141"/>
      <c r="L99" s="26"/>
      <c r="M99" s="141"/>
      <c r="N99" s="26"/>
      <c r="O99" s="141"/>
      <c r="P99" s="26"/>
      <c r="Q99" s="141"/>
      <c r="R99" s="26"/>
      <c r="S99" s="141"/>
      <c r="T99" s="26"/>
      <c r="U99" s="141"/>
      <c r="V99" s="26"/>
      <c r="W99" s="141">
        <f t="shared" si="45"/>
        <v>76961.59</v>
      </c>
      <c r="X99" s="26">
        <v>0.1</v>
      </c>
      <c r="Y99" s="141">
        <f t="shared" si="71"/>
        <v>692654.31</v>
      </c>
      <c r="Z99" s="26">
        <v>0.9</v>
      </c>
      <c r="AA99" s="122">
        <f t="shared" si="46"/>
        <v>769615.9</v>
      </c>
      <c r="AB99" s="176">
        <f t="shared" si="47"/>
        <v>1</v>
      </c>
      <c r="AC99" s="123">
        <f t="shared" si="48"/>
        <v>1</v>
      </c>
    </row>
    <row r="100" spans="1:29" x14ac:dyDescent="0.2">
      <c r="A100" s="120" t="s">
        <v>201</v>
      </c>
      <c r="B100" s="175" t="str">
        <f>'Orçamento final pintura asfalto'!B154</f>
        <v>Transporte de C.B.U.Q</v>
      </c>
      <c r="C100" s="126">
        <f>'Orçamento final pintura asfalto'!G154</f>
        <v>27080.73</v>
      </c>
      <c r="D100" s="131">
        <f t="shared" si="72"/>
        <v>1.840525922221865E-2</v>
      </c>
      <c r="E100" s="141">
        <f t="shared" si="70"/>
        <v>0</v>
      </c>
      <c r="F100" s="26"/>
      <c r="G100" s="141"/>
      <c r="H100" s="26"/>
      <c r="I100" s="141"/>
      <c r="J100" s="26"/>
      <c r="K100" s="141"/>
      <c r="L100" s="26"/>
      <c r="M100" s="141"/>
      <c r="N100" s="26"/>
      <c r="O100" s="141"/>
      <c r="P100" s="26"/>
      <c r="Q100" s="141"/>
      <c r="R100" s="26"/>
      <c r="S100" s="141"/>
      <c r="T100" s="26"/>
      <c r="U100" s="141"/>
      <c r="V100" s="26"/>
      <c r="W100" s="141">
        <f t="shared" si="45"/>
        <v>2708.07</v>
      </c>
      <c r="X100" s="26">
        <v>0.1</v>
      </c>
      <c r="Y100" s="141">
        <f t="shared" si="71"/>
        <v>24372.656999999999</v>
      </c>
      <c r="Z100" s="26">
        <v>0.9</v>
      </c>
      <c r="AA100" s="122">
        <f t="shared" si="46"/>
        <v>27080.73</v>
      </c>
      <c r="AB100" s="176">
        <f t="shared" si="47"/>
        <v>1</v>
      </c>
      <c r="AC100" s="123">
        <f t="shared" si="48"/>
        <v>1</v>
      </c>
    </row>
    <row r="101" spans="1:29" s="137" customFormat="1" x14ac:dyDescent="0.2">
      <c r="A101" s="132" t="s">
        <v>203</v>
      </c>
      <c r="B101" s="132" t="str">
        <f>'Orçamento final pintura asfalto'!B156</f>
        <v>SINALIZAÇÃO</v>
      </c>
      <c r="C101" s="133">
        <f>SUM(C102:C106)</f>
        <v>76848.17</v>
      </c>
      <c r="D101" s="134">
        <f>C101/$C$88</f>
        <v>5.2229407759802879E-2</v>
      </c>
      <c r="E101" s="135"/>
      <c r="F101" s="134"/>
      <c r="G101" s="136"/>
      <c r="H101" s="134"/>
      <c r="I101" s="136"/>
      <c r="J101" s="134"/>
      <c r="K101" s="135"/>
      <c r="L101" s="134"/>
      <c r="M101" s="136"/>
      <c r="N101" s="134"/>
      <c r="O101" s="136"/>
      <c r="P101" s="134"/>
      <c r="Q101" s="135"/>
      <c r="R101" s="134"/>
      <c r="S101" s="136"/>
      <c r="T101" s="134"/>
      <c r="U101" s="136"/>
      <c r="V101" s="134"/>
      <c r="W101" s="177">
        <f t="shared" si="45"/>
        <v>0</v>
      </c>
      <c r="X101" s="134"/>
      <c r="Y101" s="136"/>
      <c r="Z101" s="134"/>
      <c r="AA101" s="178">
        <f t="shared" si="46"/>
        <v>0</v>
      </c>
      <c r="AB101" s="179">
        <f t="shared" si="47"/>
        <v>0</v>
      </c>
      <c r="AC101" s="180">
        <f t="shared" si="48"/>
        <v>-76847.17</v>
      </c>
    </row>
    <row r="102" spans="1:29" x14ac:dyDescent="0.2">
      <c r="A102" s="120" t="s">
        <v>204</v>
      </c>
      <c r="B102" s="175" t="str">
        <f>'Orçamento final pintura asfalto'!B157</f>
        <v>Pintura a quente (eixo da via e faixas e setas)</v>
      </c>
      <c r="C102" s="126">
        <f>'Orçamento final pintura asfalto'!G157</f>
        <v>9459.36</v>
      </c>
      <c r="D102" s="131">
        <f>C102/$C$88</f>
        <v>6.4289985120890847E-3</v>
      </c>
      <c r="E102" s="141">
        <f>F102*C102</f>
        <v>0</v>
      </c>
      <c r="F102" s="26"/>
      <c r="G102" s="141"/>
      <c r="H102" s="26"/>
      <c r="I102" s="141"/>
      <c r="J102" s="26"/>
      <c r="K102" s="141"/>
      <c r="L102" s="26"/>
      <c r="M102" s="141"/>
      <c r="N102" s="26"/>
      <c r="O102" s="141"/>
      <c r="P102" s="26"/>
      <c r="Q102" s="141"/>
      <c r="R102" s="26"/>
      <c r="S102" s="141"/>
      <c r="T102" s="26"/>
      <c r="U102" s="141"/>
      <c r="V102" s="26"/>
      <c r="W102" s="141">
        <f t="shared" si="45"/>
        <v>0</v>
      </c>
      <c r="X102" s="26"/>
      <c r="Y102" s="141">
        <f>Z102*C102</f>
        <v>9459.36</v>
      </c>
      <c r="Z102" s="26">
        <v>1</v>
      </c>
      <c r="AA102" s="122">
        <f t="shared" si="46"/>
        <v>9459.36</v>
      </c>
      <c r="AB102" s="176">
        <f t="shared" si="47"/>
        <v>1</v>
      </c>
      <c r="AC102" s="123">
        <f t="shared" si="48"/>
        <v>1</v>
      </c>
    </row>
    <row r="103" spans="1:29" x14ac:dyDescent="0.2">
      <c r="A103" s="120" t="s">
        <v>205</v>
      </c>
      <c r="B103" s="175" t="str">
        <f>'Orçamento final pintura asfalto'!B158</f>
        <v>Pintura a frio (vagas de estacionamento)</v>
      </c>
      <c r="C103" s="126">
        <f>'Orçamento final pintura asfalto'!G158</f>
        <v>34661.620000000003</v>
      </c>
      <c r="D103" s="131">
        <f t="shared" ref="D103:D104" si="73">C103/$C$88</f>
        <v>2.3557566622540771E-2</v>
      </c>
      <c r="E103" s="141">
        <f t="shared" ref="E103:E104" si="74">F103*C103</f>
        <v>0</v>
      </c>
      <c r="F103" s="26"/>
      <c r="G103" s="141"/>
      <c r="H103" s="26"/>
      <c r="I103" s="141"/>
      <c r="J103" s="26"/>
      <c r="K103" s="141"/>
      <c r="L103" s="26"/>
      <c r="M103" s="141"/>
      <c r="N103" s="26"/>
      <c r="O103" s="141"/>
      <c r="P103" s="26"/>
      <c r="Q103" s="141"/>
      <c r="R103" s="26"/>
      <c r="S103" s="141"/>
      <c r="T103" s="26"/>
      <c r="U103" s="141"/>
      <c r="V103" s="26"/>
      <c r="W103" s="141">
        <f t="shared" si="45"/>
        <v>0</v>
      </c>
      <c r="X103" s="26"/>
      <c r="Y103" s="141">
        <f t="shared" ref="Y103:Y104" si="75">Z103*C103</f>
        <v>34661.620000000003</v>
      </c>
      <c r="Z103" s="26">
        <v>1</v>
      </c>
      <c r="AA103" s="122">
        <f t="shared" si="46"/>
        <v>34661.620000000003</v>
      </c>
      <c r="AB103" s="176">
        <f t="shared" si="47"/>
        <v>1</v>
      </c>
      <c r="AC103" s="123">
        <f t="shared" si="48"/>
        <v>1</v>
      </c>
    </row>
    <row r="104" spans="1:29" x14ac:dyDescent="0.2">
      <c r="A104" s="120" t="s">
        <v>226</v>
      </c>
      <c r="B104" s="175" t="str">
        <f>'Orçamento final pintura asfalto'!B159</f>
        <v>Tachão monodirecional</v>
      </c>
      <c r="C104" s="126">
        <f>'Orçamento final pintura asfalto'!G159</f>
        <v>15200.64</v>
      </c>
      <c r="D104" s="131">
        <f t="shared" si="73"/>
        <v>1.0331025771595732E-2</v>
      </c>
      <c r="E104" s="141">
        <f t="shared" si="74"/>
        <v>0</v>
      </c>
      <c r="F104" s="26"/>
      <c r="G104" s="141"/>
      <c r="H104" s="26"/>
      <c r="I104" s="141"/>
      <c r="J104" s="26"/>
      <c r="K104" s="141"/>
      <c r="L104" s="26"/>
      <c r="M104" s="141"/>
      <c r="N104" s="26"/>
      <c r="O104" s="141"/>
      <c r="P104" s="26"/>
      <c r="Q104" s="141"/>
      <c r="R104" s="26"/>
      <c r="S104" s="141"/>
      <c r="T104" s="26"/>
      <c r="U104" s="141"/>
      <c r="V104" s="26"/>
      <c r="W104" s="141">
        <f t="shared" ref="W104" si="76">X104*C104</f>
        <v>0</v>
      </c>
      <c r="X104" s="26"/>
      <c r="Y104" s="141">
        <f t="shared" si="75"/>
        <v>15200.64</v>
      </c>
      <c r="Z104" s="26">
        <v>1</v>
      </c>
      <c r="AA104" s="122">
        <f t="shared" si="46"/>
        <v>15200.64</v>
      </c>
      <c r="AB104" s="176">
        <f t="shared" si="47"/>
        <v>1</v>
      </c>
      <c r="AC104" s="123">
        <f t="shared" si="48"/>
        <v>1</v>
      </c>
    </row>
    <row r="105" spans="1:29" x14ac:dyDescent="0.2">
      <c r="A105" s="120" t="s">
        <v>206</v>
      </c>
      <c r="B105" s="175" t="str">
        <f>'Orçamento final pintura asfalto'!B160</f>
        <v>Tacha monodirecional</v>
      </c>
      <c r="C105" s="126">
        <f>'Orçamento final pintura asfalto'!G160</f>
        <v>3030.24</v>
      </c>
      <c r="D105" s="131">
        <f t="shared" ref="D105:D106" si="77">C105/$C$88</f>
        <v>2.0594848331465156E-3</v>
      </c>
      <c r="E105" s="141">
        <f t="shared" ref="E105:E106" si="78">F105*C105</f>
        <v>0</v>
      </c>
      <c r="F105" s="26"/>
      <c r="G105" s="141"/>
      <c r="H105" s="26"/>
      <c r="I105" s="141"/>
      <c r="J105" s="26"/>
      <c r="K105" s="141"/>
      <c r="L105" s="26"/>
      <c r="M105" s="141"/>
      <c r="N105" s="26"/>
      <c r="O105" s="141"/>
      <c r="P105" s="26"/>
      <c r="Q105" s="141"/>
      <c r="R105" s="26"/>
      <c r="S105" s="141"/>
      <c r="T105" s="26"/>
      <c r="U105" s="141"/>
      <c r="V105" s="26"/>
      <c r="W105" s="141">
        <f t="shared" ref="W105:W106" si="79">X105*C105</f>
        <v>0</v>
      </c>
      <c r="X105" s="26"/>
      <c r="Y105" s="141">
        <f t="shared" ref="Y105:Y106" si="80">Z105*C105</f>
        <v>3030.24</v>
      </c>
      <c r="Z105" s="26">
        <v>1</v>
      </c>
      <c r="AA105" s="122">
        <f t="shared" si="46"/>
        <v>3030.24</v>
      </c>
      <c r="AB105" s="176">
        <f t="shared" si="47"/>
        <v>1</v>
      </c>
      <c r="AC105" s="123">
        <f t="shared" si="48"/>
        <v>1</v>
      </c>
    </row>
    <row r="106" spans="1:29" x14ac:dyDescent="0.2">
      <c r="A106" s="120" t="s">
        <v>226</v>
      </c>
      <c r="B106" s="175" t="str">
        <f>'Orçamento final pintura asfalto'!B161</f>
        <v>Segregador</v>
      </c>
      <c r="C106" s="126">
        <f>'Orçamento final pintura asfalto'!G161</f>
        <v>14496.31</v>
      </c>
      <c r="D106" s="131">
        <f t="shared" si="77"/>
        <v>9.8523320204307804E-3</v>
      </c>
      <c r="E106" s="141">
        <f t="shared" si="78"/>
        <v>0</v>
      </c>
      <c r="F106" s="26"/>
      <c r="G106" s="141"/>
      <c r="H106" s="26"/>
      <c r="I106" s="141"/>
      <c r="J106" s="26"/>
      <c r="K106" s="141"/>
      <c r="L106" s="26"/>
      <c r="M106" s="141"/>
      <c r="N106" s="26"/>
      <c r="O106" s="141"/>
      <c r="P106" s="26"/>
      <c r="Q106" s="141"/>
      <c r="R106" s="26"/>
      <c r="S106" s="141"/>
      <c r="T106" s="26"/>
      <c r="U106" s="141"/>
      <c r="V106" s="26"/>
      <c r="W106" s="141">
        <f t="shared" si="79"/>
        <v>0</v>
      </c>
      <c r="X106" s="26"/>
      <c r="Y106" s="141">
        <f t="shared" si="80"/>
        <v>14496.31</v>
      </c>
      <c r="Z106" s="26">
        <v>1</v>
      </c>
      <c r="AA106" s="122">
        <f t="shared" si="46"/>
        <v>14496.31</v>
      </c>
      <c r="AB106" s="176">
        <f t="shared" si="47"/>
        <v>1</v>
      </c>
      <c r="AC106" s="123">
        <f t="shared" si="48"/>
        <v>1</v>
      </c>
    </row>
    <row r="107" spans="1:29" s="6" customFormat="1" x14ac:dyDescent="0.2">
      <c r="A107" s="28"/>
      <c r="B107" s="28" t="s">
        <v>37</v>
      </c>
      <c r="C107" s="129">
        <f>C101+C96+C94+C90</f>
        <v>912034.19000000006</v>
      </c>
      <c r="D107" s="29">
        <f>C107/C108</f>
        <v>0.21089627847347112</v>
      </c>
      <c r="E107" s="121"/>
      <c r="F107" s="28"/>
      <c r="G107" s="30"/>
      <c r="H107" s="29"/>
      <c r="I107" s="30"/>
      <c r="J107" s="29"/>
      <c r="K107" s="141"/>
      <c r="L107" s="28"/>
      <c r="M107" s="30"/>
      <c r="N107" s="29"/>
      <c r="O107" s="30"/>
      <c r="P107" s="29"/>
      <c r="Q107" s="141"/>
      <c r="R107" s="28"/>
      <c r="S107" s="30"/>
      <c r="T107" s="29"/>
      <c r="U107" s="30"/>
      <c r="V107" s="29"/>
      <c r="W107" s="30"/>
      <c r="X107" s="29"/>
      <c r="Y107" s="30"/>
      <c r="Z107" s="29"/>
      <c r="AA107" s="121">
        <f>SUM(AA7:AA106)</f>
        <v>4324562.7479999997</v>
      </c>
      <c r="AB107" s="31"/>
    </row>
    <row r="108" spans="1:29" s="6" customFormat="1" x14ac:dyDescent="0.2">
      <c r="A108" s="28"/>
      <c r="B108" s="28" t="s">
        <v>212</v>
      </c>
      <c r="C108" s="129">
        <f>C25+C44+C64+C88+C107</f>
        <v>4324562.75</v>
      </c>
      <c r="D108" s="31">
        <f>D25+D44+D64+D88+D107</f>
        <v>1</v>
      </c>
      <c r="E108" s="121"/>
      <c r="F108" s="28"/>
      <c r="G108" s="30"/>
      <c r="H108" s="29"/>
      <c r="I108" s="30"/>
      <c r="J108" s="29"/>
      <c r="K108" s="141"/>
      <c r="L108" s="28"/>
      <c r="M108" s="30"/>
      <c r="N108" s="29"/>
      <c r="O108" s="30"/>
      <c r="P108" s="29"/>
      <c r="Q108" s="141"/>
      <c r="R108" s="28"/>
      <c r="S108" s="30"/>
      <c r="T108" s="29"/>
      <c r="U108" s="30"/>
      <c r="V108" s="29"/>
      <c r="W108" s="30"/>
      <c r="X108" s="29"/>
      <c r="Y108" s="30"/>
      <c r="Z108" s="29"/>
      <c r="AA108" s="121"/>
      <c r="AB108" s="31"/>
    </row>
    <row r="109" spans="1:29" x14ac:dyDescent="0.2">
      <c r="A109" s="25"/>
      <c r="B109" s="25" t="s">
        <v>38</v>
      </c>
      <c r="C109" s="126"/>
      <c r="D109" s="25"/>
      <c r="E109" s="27">
        <f>SUM(E7:E108)</f>
        <v>0</v>
      </c>
      <c r="F109" s="26">
        <f>E109/C108</f>
        <v>0</v>
      </c>
      <c r="G109" s="27">
        <f>SUM(G7:G108)</f>
        <v>214427.56</v>
      </c>
      <c r="H109" s="26">
        <f>G109/C108</f>
        <v>4.9583639409556492E-2</v>
      </c>
      <c r="I109" s="27">
        <f>SUM(I7:I108)</f>
        <v>541078.56000000006</v>
      </c>
      <c r="J109" s="26">
        <f>I109/C108</f>
        <v>0.12511751852831829</v>
      </c>
      <c r="K109" s="27">
        <f>SUM(K7:K108)</f>
        <v>325349.15499999997</v>
      </c>
      <c r="L109" s="26">
        <f>K109/C108</f>
        <v>7.5232844060361931E-2</v>
      </c>
      <c r="M109" s="27">
        <f>SUM(M7:M108)</f>
        <v>367899.07499999995</v>
      </c>
      <c r="N109" s="26">
        <f>M109/C108</f>
        <v>8.507197057089759E-2</v>
      </c>
      <c r="O109" s="27">
        <f>SUM(O7:O108)</f>
        <v>492415.95999999996</v>
      </c>
      <c r="P109" s="26">
        <f>O109/C108</f>
        <v>0.11386491270128984</v>
      </c>
      <c r="Q109" s="27">
        <f>SUM(Q7:Q108)</f>
        <v>557183.92999999993</v>
      </c>
      <c r="R109" s="26">
        <f>Q109/C108</f>
        <v>0.1288416800056838</v>
      </c>
      <c r="S109" s="27">
        <f>SUM(S7:S108)</f>
        <v>550073.42599999998</v>
      </c>
      <c r="T109" s="26">
        <f>S109/C108</f>
        <v>0.12719746661093079</v>
      </c>
      <c r="U109" s="27">
        <f>SUM(U7:U108)</f>
        <v>364100.89800000004</v>
      </c>
      <c r="V109" s="26">
        <f>U109/C108</f>
        <v>8.419369056443915E-2</v>
      </c>
      <c r="W109" s="27">
        <f>SUM(W7:W108)</f>
        <v>89321.61</v>
      </c>
      <c r="X109" s="26">
        <f>W109/C108</f>
        <v>2.0654483508188198E-2</v>
      </c>
      <c r="Y109" s="27">
        <f>SUM(Y7:Y108)</f>
        <v>822712.57700000005</v>
      </c>
      <c r="Z109" s="26">
        <f>Y109/C108</f>
        <v>0.19024179427157117</v>
      </c>
      <c r="AA109" s="122"/>
      <c r="AB109" s="25"/>
    </row>
    <row r="110" spans="1:29" s="6" customFormat="1" x14ac:dyDescent="0.2">
      <c r="A110" s="28"/>
      <c r="B110" s="28" t="s">
        <v>39</v>
      </c>
      <c r="C110" s="129"/>
      <c r="D110" s="28"/>
      <c r="E110" s="30">
        <f>E109</f>
        <v>0</v>
      </c>
      <c r="F110" s="29">
        <f>F109</f>
        <v>0</v>
      </c>
      <c r="G110" s="30">
        <f>G109+E110</f>
        <v>214427.56</v>
      </c>
      <c r="H110" s="29">
        <f t="shared" ref="H110" si="81">H109+F110</f>
        <v>4.9583639409556492E-2</v>
      </c>
      <c r="I110" s="30">
        <f t="shared" ref="I110:R110" si="82">I109+G110</f>
        <v>755506.12000000011</v>
      </c>
      <c r="J110" s="29">
        <f t="shared" si="82"/>
        <v>0.17470115793787477</v>
      </c>
      <c r="K110" s="30">
        <f>K109+I110</f>
        <v>1080855.2750000001</v>
      </c>
      <c r="L110" s="29">
        <f t="shared" si="82"/>
        <v>0.2499340019982367</v>
      </c>
      <c r="M110" s="30">
        <f t="shared" si="82"/>
        <v>1448754.35</v>
      </c>
      <c r="N110" s="29">
        <f t="shared" si="82"/>
        <v>0.33500597256913428</v>
      </c>
      <c r="O110" s="30">
        <f t="shared" si="82"/>
        <v>1941170.31</v>
      </c>
      <c r="P110" s="29">
        <f t="shared" si="82"/>
        <v>0.44887088527042412</v>
      </c>
      <c r="Q110" s="30">
        <f t="shared" si="82"/>
        <v>2498354.2400000002</v>
      </c>
      <c r="R110" s="29">
        <f t="shared" si="82"/>
        <v>0.57771256527610793</v>
      </c>
      <c r="S110" s="30">
        <f t="shared" ref="S110" si="83">S109+Q110</f>
        <v>3048427.6660000002</v>
      </c>
      <c r="T110" s="29">
        <f t="shared" ref="T110" si="84">T109+R110</f>
        <v>0.70491003188703871</v>
      </c>
      <c r="U110" s="30">
        <f t="shared" ref="U110" si="85">U109+S110</f>
        <v>3412528.5640000002</v>
      </c>
      <c r="V110" s="29">
        <f>V109+T110</f>
        <v>0.78910372245147786</v>
      </c>
      <c r="W110" s="30">
        <f t="shared" ref="W110" si="86">W109+U110</f>
        <v>3501850.1740000001</v>
      </c>
      <c r="X110" s="29">
        <f t="shared" ref="X110" si="87">X109+V110</f>
        <v>0.80975820595966608</v>
      </c>
      <c r="Y110" s="30">
        <f t="shared" ref="Y110" si="88">Y109+W110</f>
        <v>4324562.7510000002</v>
      </c>
      <c r="Z110" s="29">
        <f>Z109+X110</f>
        <v>1.0000000002312373</v>
      </c>
      <c r="AA110" s="121"/>
      <c r="AB110" s="28"/>
    </row>
  </sheetData>
  <mergeCells count="2">
    <mergeCell ref="B3:E3"/>
    <mergeCell ref="A1:AB1"/>
  </mergeCells>
  <pageMargins left="0.51181102362204722" right="0.51181102362204722" top="0.51181102362204722" bottom="0.78740157480314965" header="0.31496062992125984" footer="0.31496062992125984"/>
  <pageSetup paperSize="8" scale="40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>
      <selection activeCell="E20" sqref="E20"/>
    </sheetView>
  </sheetViews>
  <sheetFormatPr defaultRowHeight="12.75" x14ac:dyDescent="0.2"/>
  <cols>
    <col min="1" max="1" width="23.140625" customWidth="1"/>
    <col min="2" max="2" width="18" customWidth="1"/>
    <col min="3" max="3" width="12" customWidth="1"/>
    <col min="4" max="4" width="11.5703125" customWidth="1"/>
    <col min="5" max="5" width="12.28515625" customWidth="1"/>
  </cols>
  <sheetData>
    <row r="1" spans="1:10" x14ac:dyDescent="0.2">
      <c r="A1" s="206" t="s">
        <v>72</v>
      </c>
      <c r="B1" s="206"/>
      <c r="C1" s="206"/>
      <c r="D1" s="206"/>
      <c r="E1" s="206"/>
    </row>
    <row r="2" spans="1:10" x14ac:dyDescent="0.2">
      <c r="B2" s="99"/>
      <c r="C2" s="99"/>
      <c r="D2" s="99"/>
    </row>
    <row r="3" spans="1:10" x14ac:dyDescent="0.2">
      <c r="A3" s="33" t="s">
        <v>73</v>
      </c>
      <c r="B3" s="100" t="s">
        <v>74</v>
      </c>
      <c r="C3" s="100" t="s">
        <v>75</v>
      </c>
      <c r="D3" s="100" t="s">
        <v>76</v>
      </c>
      <c r="E3" s="33" t="s">
        <v>77</v>
      </c>
      <c r="F3" s="32"/>
      <c r="G3" s="32"/>
      <c r="H3" s="32"/>
      <c r="I3" s="32"/>
      <c r="J3" s="32"/>
    </row>
    <row r="4" spans="1:10" x14ac:dyDescent="0.2">
      <c r="A4" s="25" t="s">
        <v>78</v>
      </c>
      <c r="B4" s="100">
        <v>3.8</v>
      </c>
      <c r="C4" s="100">
        <v>4.01</v>
      </c>
      <c r="D4" s="100">
        <v>4.67</v>
      </c>
      <c r="E4" s="101">
        <v>4.01</v>
      </c>
      <c r="F4">
        <f>E4/100</f>
        <v>4.0099999999999997E-2</v>
      </c>
    </row>
    <row r="5" spans="1:10" x14ac:dyDescent="0.2">
      <c r="A5" s="25" t="s">
        <v>79</v>
      </c>
      <c r="B5" s="100">
        <v>0.32</v>
      </c>
      <c r="C5" s="100">
        <v>0.4</v>
      </c>
      <c r="D5" s="100">
        <v>0.74</v>
      </c>
      <c r="E5" s="101">
        <v>0.4</v>
      </c>
      <c r="F5">
        <f t="shared" ref="F5:F9" si="0">E5/100</f>
        <v>4.0000000000000001E-3</v>
      </c>
    </row>
    <row r="6" spans="1:10" x14ac:dyDescent="0.2">
      <c r="A6" s="25" t="s">
        <v>80</v>
      </c>
      <c r="B6" s="100">
        <v>0.5</v>
      </c>
      <c r="C6" s="100">
        <v>0.56000000000000005</v>
      </c>
      <c r="D6" s="100">
        <v>0.97</v>
      </c>
      <c r="E6" s="101">
        <v>0.56000000000000005</v>
      </c>
      <c r="F6">
        <f t="shared" si="0"/>
        <v>5.6000000000000008E-3</v>
      </c>
    </row>
    <row r="7" spans="1:10" x14ac:dyDescent="0.2">
      <c r="A7" s="25" t="s">
        <v>81</v>
      </c>
      <c r="B7" s="100">
        <v>1.02</v>
      </c>
      <c r="C7" s="100">
        <v>1.1100000000000001</v>
      </c>
      <c r="D7" s="100">
        <v>1.21</v>
      </c>
      <c r="E7" s="101">
        <v>1.1100000000000001</v>
      </c>
      <c r="F7">
        <f t="shared" si="0"/>
        <v>1.11E-2</v>
      </c>
    </row>
    <row r="8" spans="1:10" x14ac:dyDescent="0.2">
      <c r="A8" s="25" t="s">
        <v>82</v>
      </c>
      <c r="B8" s="100">
        <v>6.64</v>
      </c>
      <c r="C8" s="100">
        <v>7.3</v>
      </c>
      <c r="D8" s="100">
        <v>8.69</v>
      </c>
      <c r="E8" s="101">
        <v>7.3</v>
      </c>
      <c r="F8">
        <f t="shared" si="0"/>
        <v>7.2999999999999995E-2</v>
      </c>
    </row>
    <row r="9" spans="1:10" x14ac:dyDescent="0.2">
      <c r="A9" s="25" t="s">
        <v>83</v>
      </c>
      <c r="B9" s="100">
        <v>7.65</v>
      </c>
      <c r="C9" s="100">
        <v>13.2</v>
      </c>
      <c r="D9" s="100">
        <v>18.75</v>
      </c>
      <c r="E9" s="101">
        <v>11.15</v>
      </c>
      <c r="F9">
        <f t="shared" si="0"/>
        <v>0.1115</v>
      </c>
    </row>
    <row r="10" spans="1:10" x14ac:dyDescent="0.2">
      <c r="A10" s="102" t="s">
        <v>84</v>
      </c>
      <c r="B10" s="100">
        <v>0.65</v>
      </c>
      <c r="C10" s="100">
        <v>0.65</v>
      </c>
      <c r="D10" s="100">
        <v>0.65</v>
      </c>
      <c r="E10" s="101">
        <v>0.65</v>
      </c>
    </row>
    <row r="11" spans="1:10" x14ac:dyDescent="0.2">
      <c r="A11" s="102" t="s">
        <v>85</v>
      </c>
      <c r="B11" s="100">
        <v>3</v>
      </c>
      <c r="C11" s="100">
        <v>3</v>
      </c>
      <c r="D11" s="100">
        <v>3</v>
      </c>
      <c r="E11" s="103">
        <v>3</v>
      </c>
      <c r="I11">
        <f>((((1+F4+F5+F6)*(1+F7)*(1+F8))/(1-F13))-1)*100</f>
        <v>21.995751677557607</v>
      </c>
    </row>
    <row r="12" spans="1:10" x14ac:dyDescent="0.2">
      <c r="A12" s="102" t="s">
        <v>86</v>
      </c>
      <c r="B12" s="100">
        <v>2</v>
      </c>
      <c r="C12" s="100">
        <v>3.5</v>
      </c>
      <c r="D12" s="100">
        <v>5</v>
      </c>
      <c r="E12" s="101">
        <v>3</v>
      </c>
    </row>
    <row r="13" spans="1:10" x14ac:dyDescent="0.2">
      <c r="A13" s="102" t="s">
        <v>87</v>
      </c>
      <c r="B13" s="100">
        <v>2</v>
      </c>
      <c r="C13" s="100">
        <v>3.25</v>
      </c>
      <c r="D13" s="100">
        <v>4.5</v>
      </c>
      <c r="E13" s="103"/>
      <c r="F13">
        <f>(E10+E11+E12+E13)/100</f>
        <v>6.6500000000000004E-2</v>
      </c>
    </row>
    <row r="14" spans="1:10" x14ac:dyDescent="0.2">
      <c r="B14" s="99"/>
      <c r="C14" s="99"/>
      <c r="D14" s="99"/>
    </row>
    <row r="15" spans="1:10" x14ac:dyDescent="0.2">
      <c r="B15" s="99"/>
      <c r="C15" s="99"/>
      <c r="D15" s="99"/>
    </row>
    <row r="16" spans="1:10" x14ac:dyDescent="0.2">
      <c r="B16" s="99"/>
      <c r="C16" s="99"/>
      <c r="D16" s="99"/>
    </row>
    <row r="17" spans="1:5" x14ac:dyDescent="0.2">
      <c r="B17" s="99"/>
      <c r="C17" s="99"/>
      <c r="D17" s="99"/>
    </row>
    <row r="18" spans="1:5" x14ac:dyDescent="0.2">
      <c r="B18" s="99"/>
      <c r="C18" s="99"/>
      <c r="D18" s="99"/>
    </row>
    <row r="19" spans="1:5" x14ac:dyDescent="0.2">
      <c r="B19" s="99"/>
      <c r="C19" s="99"/>
      <c r="D19" s="99"/>
    </row>
    <row r="20" spans="1:5" x14ac:dyDescent="0.2">
      <c r="A20" t="s">
        <v>88</v>
      </c>
      <c r="B20" s="99"/>
      <c r="C20" s="99"/>
      <c r="D20" s="99"/>
    </row>
    <row r="21" spans="1:5" x14ac:dyDescent="0.2">
      <c r="A21" t="s">
        <v>89</v>
      </c>
      <c r="B21" s="99"/>
      <c r="C21" s="99"/>
      <c r="D21" s="99"/>
    </row>
    <row r="22" spans="1:5" x14ac:dyDescent="0.2">
      <c r="A22" t="s">
        <v>90</v>
      </c>
      <c r="B22" s="99"/>
      <c r="C22" s="99"/>
      <c r="D22" s="99"/>
    </row>
    <row r="23" spans="1:5" x14ac:dyDescent="0.2">
      <c r="A23" t="s">
        <v>91</v>
      </c>
      <c r="B23" s="99"/>
      <c r="C23" s="99"/>
      <c r="D23" s="99"/>
    </row>
    <row r="24" spans="1:5" x14ac:dyDescent="0.2">
      <c r="A24" t="s">
        <v>92</v>
      </c>
      <c r="B24" s="99"/>
      <c r="C24" s="99"/>
      <c r="D24" s="99"/>
    </row>
    <row r="25" spans="1:5" x14ac:dyDescent="0.2">
      <c r="A25" t="s">
        <v>93</v>
      </c>
      <c r="B25" s="99"/>
      <c r="C25" s="99"/>
      <c r="D25" s="99"/>
    </row>
    <row r="26" spans="1:5" x14ac:dyDescent="0.2">
      <c r="A26" t="s">
        <v>94</v>
      </c>
      <c r="B26" s="99"/>
      <c r="C26" s="99"/>
      <c r="D26" s="99"/>
    </row>
    <row r="27" spans="1:5" ht="13.5" thickBot="1" x14ac:dyDescent="0.25">
      <c r="B27" s="99"/>
      <c r="C27" s="99"/>
      <c r="D27" s="99"/>
    </row>
    <row r="28" spans="1:5" ht="15.75" thickBot="1" x14ac:dyDescent="0.3">
      <c r="A28" s="104" t="s">
        <v>20</v>
      </c>
      <c r="B28" s="105">
        <f>I11</f>
        <v>21.995751677557607</v>
      </c>
      <c r="C28" s="106" t="s">
        <v>31</v>
      </c>
      <c r="D28" s="107"/>
      <c r="E28" s="108">
        <f>((((1+F4+F5+F6)*(1+F7)*(1+F8))/(1-F9))-1)*100</f>
        <v>28.17448980416437</v>
      </c>
    </row>
    <row r="29" spans="1:5" x14ac:dyDescent="0.2">
      <c r="B29" s="99"/>
      <c r="C29" s="99"/>
      <c r="D29" s="99"/>
    </row>
  </sheetData>
  <mergeCells count="1">
    <mergeCell ref="A1:E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Word.Document.12" shapeId="1026" r:id="rId3">
          <objectPr defaultSize="0" autoPict="0" r:id="rId4">
            <anchor moveWithCells="1">
              <from>
                <xdr:col>0</xdr:col>
                <xdr:colOff>285750</xdr:colOff>
                <xdr:row>14</xdr:row>
                <xdr:rowOff>171450</xdr:rowOff>
              </from>
              <to>
                <xdr:col>3</xdr:col>
                <xdr:colOff>485775</xdr:colOff>
                <xdr:row>18</xdr:row>
                <xdr:rowOff>19050</xdr:rowOff>
              </to>
            </anchor>
          </objectPr>
        </oleObject>
      </mc:Choice>
      <mc:Fallback>
        <oleObject progId="Word.Document.12" shapeId="102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Orçamento final pintura asfalto</vt:lpstr>
      <vt:lpstr>Composições</vt:lpstr>
      <vt:lpstr>Cronograma</vt:lpstr>
      <vt:lpstr>BDI</vt:lpstr>
      <vt:lpstr>Composições!Area_de_impressao</vt:lpstr>
      <vt:lpstr>Cronograma!Area_de_impressao</vt:lpstr>
      <vt:lpstr>'Orçamento final pintura asfalto'!Area_de_impressao</vt:lpstr>
    </vt:vector>
  </TitlesOfParts>
  <Company>Prefeitura Municipal de Timbo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2018-05-25T13:57:11Z</cp:lastPrinted>
  <dcterms:created xsi:type="dcterms:W3CDTF">2001-12-06T19:05:24Z</dcterms:created>
  <dcterms:modified xsi:type="dcterms:W3CDTF">2018-06-28T18:55:41Z</dcterms:modified>
</cp:coreProperties>
</file>